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queryTables/queryTable1.xml" ContentType="application/vnd.openxmlformats-officedocument.spreadsheetml.queryTable+xml"/>
  <Override PartName="/xl/tables/table6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filterPrivacy="1" defaultThemeVersion="124226"/>
  <bookViews>
    <workbookView xWindow="0" yWindow="0" windowWidth="19200" windowHeight="6940" tabRatio="696" xr2:uid="{00000000-000D-0000-FFFF-FFFF00000000}"/>
  </bookViews>
  <sheets>
    <sheet name="1_Платежи_РасчетПроцентов" sheetId="5" r:id="rId1"/>
    <sheet name="2_ставка ЦБ" sheetId="3" r:id="rId2"/>
    <sheet name="3_Отчет" sheetId="9" r:id="rId3"/>
    <sheet name="Расчет" sheetId="7" r:id="rId4"/>
  </sheets>
  <definedNames>
    <definedName name="ExternalData_1" localSheetId="0" hidden="1">'1_Платежи_РасчетПроцентов'!#REF!</definedName>
    <definedName name="ExternalData_1" localSheetId="2" hidden="1">'3_Отчет'!$A$1:$H$27</definedName>
    <definedName name="ExternalData_1" localSheetId="3" hidden="1">Расчет!$A$1:$F$27</definedName>
    <definedName name="ExternalData_2" localSheetId="2" hidden="1">'3_Отчет'!#REF!</definedName>
  </definedNames>
  <calcPr calcId="171027"/>
  <fileRecoveryPr autoRecover="0"/>
  <extLst>
    <ext xmlns:x15="http://schemas.microsoft.com/office/spreadsheetml/2010/11/main" uri="{FCE2AD5D-F65C-4FA6-A056-5C36A1767C68}">
      <x15:dataModel>
        <x15:modelTables>
          <x15:modelTable id="Все в одной таблице_5dab676c-bde7-41d9-9011-817babd35d80" name="Все в одной таблице" connection="Запрос — Все в одной таблице"/>
        </x15:modelTables>
      </x15:dataModel>
    </ext>
  </extLst>
</workbook>
</file>

<file path=xl/calcChain.xml><?xml version="1.0" encoding="utf-8"?>
<calcChain xmlns="http://schemas.openxmlformats.org/spreadsheetml/2006/main">
  <c r="G2" i="7" l="1"/>
  <c r="G3" i="7"/>
  <c r="G4" i="7"/>
  <c r="G5" i="7"/>
  <c r="H5" i="7" s="1"/>
  <c r="G6" i="7"/>
  <c r="G7" i="7"/>
  <c r="G8" i="7"/>
  <c r="G9" i="7"/>
  <c r="H9" i="7" s="1"/>
  <c r="G10" i="7"/>
  <c r="G11" i="7"/>
  <c r="G12" i="7"/>
  <c r="G13" i="7"/>
  <c r="H13" i="7" s="1"/>
  <c r="G14" i="7"/>
  <c r="G15" i="7"/>
  <c r="G16" i="7"/>
  <c r="H16" i="7" s="1"/>
  <c r="G17" i="7"/>
  <c r="H17" i="7" s="1"/>
  <c r="G18" i="7"/>
  <c r="G19" i="7"/>
  <c r="G20" i="7"/>
  <c r="G21" i="7"/>
  <c r="H21" i="7" s="1"/>
  <c r="G22" i="7"/>
  <c r="G23" i="7"/>
  <c r="G24" i="7"/>
  <c r="H24" i="7" s="1"/>
  <c r="G25" i="7"/>
  <c r="H25" i="7" s="1"/>
  <c r="G26" i="7"/>
  <c r="G27" i="7"/>
  <c r="H2" i="7"/>
  <c r="H3" i="7"/>
  <c r="H4" i="7"/>
  <c r="H6" i="7"/>
  <c r="H7" i="7"/>
  <c r="H8" i="7"/>
  <c r="H10" i="7"/>
  <c r="H11" i="7"/>
  <c r="H12" i="7"/>
  <c r="H14" i="7"/>
  <c r="H15" i="7"/>
  <c r="H18" i="7"/>
  <c r="H19" i="7"/>
  <c r="H20" i="7"/>
  <c r="H22" i="7"/>
  <c r="H23" i="7"/>
  <c r="H26" i="7"/>
  <c r="H27" i="7"/>
  <c r="I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J2" i="7"/>
  <c r="J3" i="7"/>
  <c r="J4" i="7"/>
  <c r="J5" i="7"/>
  <c r="J6" i="7"/>
  <c r="J7" i="7"/>
  <c r="K7" i="7" s="1"/>
  <c r="L7" i="7" s="1"/>
  <c r="J8" i="7"/>
  <c r="J9" i="7"/>
  <c r="J10" i="7"/>
  <c r="K10" i="7" s="1"/>
  <c r="L10" i="7" s="1"/>
  <c r="J11" i="7"/>
  <c r="K11" i="7" s="1"/>
  <c r="L11" i="7" s="1"/>
  <c r="J12" i="7"/>
  <c r="J13" i="7"/>
  <c r="J14" i="7"/>
  <c r="J15" i="7"/>
  <c r="K15" i="7" s="1"/>
  <c r="L15" i="7" s="1"/>
  <c r="J16" i="7"/>
  <c r="J17" i="7"/>
  <c r="J18" i="7"/>
  <c r="J19" i="7"/>
  <c r="K19" i="7" s="1"/>
  <c r="L19" i="7" s="1"/>
  <c r="J20" i="7"/>
  <c r="J21" i="7"/>
  <c r="J22" i="7"/>
  <c r="J23" i="7"/>
  <c r="K23" i="7" s="1"/>
  <c r="L23" i="7" s="1"/>
  <c r="J24" i="7"/>
  <c r="J25" i="7"/>
  <c r="J26" i="7"/>
  <c r="J27" i="7"/>
  <c r="K27" i="7" s="1"/>
  <c r="L27" i="7" s="1"/>
  <c r="K4" i="7"/>
  <c r="L4" i="7" s="1"/>
  <c r="F8" i="5"/>
  <c r="F7" i="5"/>
  <c r="K20" i="7" l="1"/>
  <c r="L20" i="7" s="1"/>
  <c r="K16" i="7"/>
  <c r="K12" i="7"/>
  <c r="L12" i="7" s="1"/>
  <c r="K8" i="7"/>
  <c r="L8" i="7" s="1"/>
  <c r="K3" i="7"/>
  <c r="L3" i="7" s="1"/>
  <c r="K24" i="7"/>
  <c r="L24" i="7" s="1"/>
  <c r="K26" i="7"/>
  <c r="L26" i="7" s="1"/>
  <c r="K6" i="7"/>
  <c r="L6" i="7" s="1"/>
  <c r="K25" i="7"/>
  <c r="L25" i="7" s="1"/>
  <c r="K21" i="7"/>
  <c r="L21" i="7" s="1"/>
  <c r="K17" i="7"/>
  <c r="L17" i="7" s="1"/>
  <c r="K13" i="7"/>
  <c r="L13" i="7" s="1"/>
  <c r="K9" i="7"/>
  <c r="L9" i="7" s="1"/>
  <c r="K5" i="7"/>
  <c r="L5" i="7" s="1"/>
  <c r="K22" i="7"/>
  <c r="L22" i="7" s="1"/>
  <c r="K18" i="7"/>
  <c r="L18" i="7" s="1"/>
  <c r="K14" i="7"/>
  <c r="L14" i="7" s="1"/>
  <c r="K2" i="7"/>
  <c r="L2" i="7" s="1"/>
  <c r="L16" i="7"/>
  <c r="F7" i="3"/>
  <c r="H6" i="3" l="1"/>
  <c r="H4" i="3"/>
  <c r="H5" i="3"/>
  <c r="H7" i="3" l="1"/>
  <c r="C10" i="3"/>
  <c r="G25" i="5" l="1"/>
  <c r="C16" i="5"/>
  <c r="G24" i="5"/>
  <c r="G12" i="5"/>
  <c r="F26" i="5"/>
  <c r="B17" i="5"/>
  <c r="G21" i="5" l="1"/>
  <c r="C9" i="3"/>
  <c r="G20" i="5" l="1"/>
  <c r="C4" i="3"/>
  <c r="C5" i="3"/>
  <c r="C6" i="3"/>
  <c r="C7" i="3"/>
  <c r="C8" i="3"/>
  <c r="G13" i="5"/>
  <c r="G14" i="5"/>
  <c r="G15" i="5"/>
  <c r="G16" i="5"/>
  <c r="G17" i="5"/>
  <c r="G18" i="5"/>
  <c r="G19" i="5"/>
  <c r="C12" i="5"/>
  <c r="C13" i="5"/>
  <c r="C14" i="5"/>
  <c r="C15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ExternalData_1" description="Модель данных" type="5" refreshedVersion="6" minRefreshableVersion="5" saveData="1">
    <dbPr connection="Data Model Connection" command="Все в одной таблице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name="Запрос — Все в одной таблице" description="Соединение с запросом &quot;Все в одной таблице&quot; в книге." type="100" refreshedVersion="6" minRefreshableVersion="5">
    <extLst>
      <ext xmlns:x15="http://schemas.microsoft.com/office/spreadsheetml/2010/11/main" uri="{DE250136-89BD-433C-8126-D09CA5730AF9}">
        <x15:connection id="a8ae09e1-e3f2-4387-b046-e974c61ba66f"/>
      </ext>
    </extLst>
  </connection>
  <connection id="4" xr16:uid="{00000000-0015-0000-FFFF-FFFF03000000}" keepAlive="1" name="Запрос — Все_в_одной_таблице_out" description="Соединение с запросом &quot;Все_в_одной_таблице_out&quot; в книге." type="5" refreshedVersion="6" background="1" saveData="1">
    <dbPr connection="Provider=Microsoft.Mashup.OleDb.1;Data Source=$Workbook$;Location=Все_в_одной_таблице_out;Extended Properties=&quot;&quot;" command="SELECT * FROM [Все_в_одной_таблице_out]"/>
  </connection>
  <connection id="5" xr16:uid="{00000000-0015-0000-FFFF-FFFF04000000}" keepAlive="1" name="Запрос — ОплатаПоДоговору" description="Соединение с запросом &quot;ОплатаПоДоговору&quot; в книге." type="5" refreshedVersion="0" background="1">
    <dbPr connection="Provider=Microsoft.Mashup.OleDb.1;Data Source=$Workbook$;Location=ОплатаПоДоговору;Extended Properties=&quot;&quot;" command="SELECT * FROM [ОплатаПоДоговору]"/>
  </connection>
  <connection id="6" xr16:uid="{00000000-0015-0000-FFFF-FFFF05000000}" keepAlive="1" name="Запрос — СлужебныеДаты" description="Соединение с запросом &quot;СлужебныеДаты&quot; в книге." type="5" refreshedVersion="0" background="1">
    <dbPr connection="Provider=Microsoft.Mashup.OleDb.1;Data Source=$Workbook$;Location=СлужебныеДаты;Extended Properties=&quot;&quot;" command="SELECT * FROM [СлужебныеДаты]"/>
  </connection>
  <connection id="7" xr16:uid="{00000000-0015-0000-FFFF-FFFF06000000}" keepAlive="1" name="Запрос — СтавкаРефинансированияЦБРФ" description="Соединение с запросом &quot;СтавкаРефинансированияЦБРФ&quot; в книге." type="5" refreshedVersion="0" background="1">
    <dbPr connection="Provider=Microsoft.Mashup.OleDb.1;Data Source=$Workbook$;Location=СтавкаРефинансированияЦБРФ;Extended Properties=&quot;&quot;" command="SELECT * FROM [СтавкаРефинансированияЦБРФ]"/>
  </connection>
  <connection id="8" xr16:uid="{00000000-0015-0000-FFFF-FFFF07000000}" keepAlive="1" name="Запрос — ФактическиеОплаты" description="Соединение с запросом &quot;ФактическиеОплаты&quot; в книге." type="5" refreshedVersion="0" background="1">
    <dbPr connection="Provider=Microsoft.Mashup.OleDb.1;Data Source=$Workbook$;Location=ФактическиеОплаты;Extended Properties=&quot;&quot;" command="SELECT * FROM [ФактическиеОплаты]"/>
  </connection>
</connections>
</file>

<file path=xl/sharedStrings.xml><?xml version="1.0" encoding="utf-8"?>
<sst xmlns="http://schemas.openxmlformats.org/spreadsheetml/2006/main" count="52" uniqueCount="30">
  <si>
    <t>Ставка рефинансирования ЦБ РФ</t>
  </si>
  <si>
    <t>Договорные сроки оплаты</t>
  </si>
  <si>
    <t>Фактические сроки оплаты</t>
  </si>
  <si>
    <t>статус</t>
  </si>
  <si>
    <t>Дата</t>
  </si>
  <si>
    <t>Значение</t>
  </si>
  <si>
    <t>План</t>
  </si>
  <si>
    <t>Факт</t>
  </si>
  <si>
    <t>ставка ЦБ</t>
  </si>
  <si>
    <t>нарастающие факт оплаты</t>
  </si>
  <si>
    <t>нарастающие плановые остатки</t>
  </si>
  <si>
    <t>недоплата</t>
  </si>
  <si>
    <t>дней</t>
  </si>
  <si>
    <t>Расчет штрафных процентов</t>
  </si>
  <si>
    <t>Проценты на сумму просроченной задолженности:</t>
  </si>
  <si>
    <t>руб</t>
  </si>
  <si>
    <t>смена года</t>
  </si>
  <si>
    <t>дата расчета</t>
  </si>
  <si>
    <t>Итог</t>
  </si>
  <si>
    <t>Служебные даты - смена года, дата расчета процентов</t>
  </si>
  <si>
    <t>старт</t>
  </si>
  <si>
    <t>Индекс</t>
  </si>
  <si>
    <t>ПредыдущаяДата</t>
  </si>
  <si>
    <t>%% по ставке ЦБ</t>
  </si>
  <si>
    <t>1. заполните таблицы плановых и фактичских платежей на этой странице</t>
  </si>
  <si>
    <t>2. на листе "ставка ЦБ" проверьте актуальность соответствующей информации</t>
  </si>
  <si>
    <t>3. после обновления данных требуется пересчет "запроса" - кнопка "обновить все" на ленте меню Excel "Данные"</t>
  </si>
  <si>
    <t>4. расчет процентов находится на листе "3_Отчет"</t>
  </si>
  <si>
    <t>Дней в году</t>
  </si>
  <si>
    <t>По состоянию на дату: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</si>
</sst>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d\ mmm\ yy;@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rgb="FF222222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/>
    <xf numFmtId="4" fontId="0" fillId="0" borderId="0" xfId="0" applyNumberFormat="1"/>
    <xf numFmtId="14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1" fillId="0" borderId="3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NumberFormat="1"/>
    <xf numFmtId="0" fontId="4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2" fillId="0" borderId="10" xfId="0" applyNumberFormat="1" applyFont="1" applyFill="1" applyBorder="1"/>
    <xf numFmtId="0" fontId="2" fillId="0" borderId="10" xfId="0" applyFont="1" applyFill="1" applyBorder="1"/>
    <xf numFmtId="164" fontId="2" fillId="0" borderId="11" xfId="0" applyNumberFormat="1" applyFont="1" applyFill="1" applyBorder="1"/>
    <xf numFmtId="0" fontId="2" fillId="0" borderId="11" xfId="0" applyFont="1" applyFill="1" applyBorder="1"/>
    <xf numFmtId="164" fontId="2" fillId="0" borderId="0" xfId="0" applyNumberFormat="1" applyFont="1" applyFill="1"/>
    <xf numFmtId="0" fontId="2" fillId="0" borderId="0" xfId="0" applyNumberFormat="1" applyFont="1" applyFill="1"/>
    <xf numFmtId="164" fontId="2" fillId="4" borderId="0" xfId="0" applyNumberFormat="1" applyFont="1" applyFill="1" applyBorder="1"/>
    <xf numFmtId="0" fontId="2" fillId="4" borderId="0" xfId="0" applyFont="1" applyFill="1" applyBorder="1"/>
    <xf numFmtId="0" fontId="2" fillId="4" borderId="0" xfId="0" applyFont="1" applyFill="1"/>
    <xf numFmtId="0" fontId="2" fillId="0" borderId="0" xfId="0" applyFont="1" applyFill="1" applyAlignment="1">
      <alignment horizontal="center" vertical="center" wrapText="1"/>
    </xf>
    <xf numFmtId="164" fontId="0" fillId="0" borderId="0" xfId="0" applyNumberFormat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/>
    <xf numFmtId="0" fontId="6" fillId="0" borderId="0" xfId="0" applyFont="1"/>
    <xf numFmtId="14" fontId="5" fillId="0" borderId="0" xfId="0" applyNumberFormat="1" applyFont="1" applyFill="1" applyBorder="1"/>
    <xf numFmtId="4" fontId="6" fillId="0" borderId="0" xfId="0" applyNumberFormat="1" applyFont="1"/>
    <xf numFmtId="10" fontId="6" fillId="0" borderId="0" xfId="0" applyNumberFormat="1" applyFont="1"/>
    <xf numFmtId="164" fontId="6" fillId="0" borderId="0" xfId="0" applyNumberFormat="1" applyFont="1"/>
    <xf numFmtId="0" fontId="6" fillId="0" borderId="0" xfId="0" applyNumberFormat="1" applyFont="1"/>
    <xf numFmtId="4" fontId="6" fillId="0" borderId="8" xfId="0" applyNumberFormat="1" applyFont="1" applyFill="1" applyBorder="1"/>
    <xf numFmtId="4" fontId="7" fillId="2" borderId="8" xfId="0" applyNumberFormat="1" applyFont="1" applyFill="1" applyBorder="1"/>
    <xf numFmtId="4" fontId="6" fillId="2" borderId="9" xfId="0" applyNumberFormat="1" applyFont="1" applyFill="1" applyBorder="1"/>
    <xf numFmtId="164" fontId="5" fillId="0" borderId="0" xfId="0" applyNumberFormat="1" applyFont="1" applyFill="1" applyBorder="1"/>
    <xf numFmtId="4" fontId="5" fillId="0" borderId="0" xfId="0" applyNumberFormat="1" applyFont="1" applyFill="1" applyBorder="1"/>
    <xf numFmtId="14" fontId="6" fillId="0" borderId="0" xfId="0" applyNumberFormat="1" applyFont="1"/>
    <xf numFmtId="4" fontId="6" fillId="0" borderId="0" xfId="0" applyNumberFormat="1" applyFont="1" applyFill="1"/>
    <xf numFmtId="0" fontId="6" fillId="0" borderId="0" xfId="0" applyFont="1" applyFill="1"/>
    <xf numFmtId="0" fontId="8" fillId="0" borderId="0" xfId="0" applyFont="1"/>
    <xf numFmtId="0" fontId="9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4" fontId="8" fillId="3" borderId="0" xfId="0" applyNumberFormat="1" applyFont="1" applyFill="1"/>
    <xf numFmtId="164" fontId="8" fillId="3" borderId="0" xfId="0" applyNumberFormat="1" applyFont="1" applyFill="1"/>
    <xf numFmtId="0" fontId="12" fillId="0" borderId="0" xfId="0" applyFont="1"/>
    <xf numFmtId="0" fontId="13" fillId="0" borderId="3" xfId="0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right"/>
    </xf>
    <xf numFmtId="14" fontId="14" fillId="0" borderId="3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right"/>
    </xf>
    <xf numFmtId="14" fontId="14" fillId="0" borderId="6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right"/>
    </xf>
    <xf numFmtId="0" fontId="9" fillId="0" borderId="0" xfId="0" applyNumberFormat="1" applyFont="1" applyBorder="1"/>
    <xf numFmtId="0" fontId="14" fillId="0" borderId="6" xfId="0" applyFont="1" applyFill="1" applyBorder="1" applyAlignment="1">
      <alignment horizontal="center" vertical="center" wrapText="1"/>
    </xf>
    <xf numFmtId="0" fontId="9" fillId="0" borderId="0" xfId="0" applyNumberFormat="1" applyFont="1"/>
  </cellXfs>
  <cellStyles count="1">
    <cellStyle name="Обычный" xfId="0" builtinId="0"/>
  </cellStyles>
  <dxfs count="52">
    <dxf>
      <numFmt numFmtId="4" formatCode="#,##0.00"/>
    </dxf>
    <dxf>
      <numFmt numFmtId="4" formatCode="#,##0.00"/>
    </dxf>
    <dxf>
      <numFmt numFmtId="4" formatCode="#,##0.00"/>
    </dxf>
    <dxf>
      <fill>
        <patternFill patternType="none">
          <fgColor indexed="64"/>
          <bgColor indexed="65"/>
        </patternFill>
      </fill>
    </dxf>
    <dxf>
      <numFmt numFmtId="4" formatCode="#,##0.0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4" formatCode="#,##0.00"/>
      <fill>
        <patternFill patternType="none">
          <fgColor indexed="64"/>
          <bgColor indexed="65"/>
        </patternFill>
      </fill>
    </dxf>
    <dxf>
      <numFmt numFmtId="0" formatCode="General"/>
    </dxf>
    <dxf>
      <numFmt numFmtId="164" formatCode="[$-419]d\ mmm\ yy;@"/>
    </dxf>
    <dxf>
      <numFmt numFmtId="14" formatCode="0.00%"/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14" formatCode="0.00%"/>
    </dxf>
    <dxf>
      <numFmt numFmtId="4" formatCode="#,##0.00"/>
    </dxf>
    <dxf>
      <numFmt numFmtId="4" formatCode="#,##0.00"/>
    </dxf>
    <dxf>
      <numFmt numFmtId="164" formatCode="[$-419]d\ mmm\ yy;@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[$-419]d\ mmm\ yy;@"/>
      <fill>
        <patternFill patternType="none">
          <fgColor indexed="64"/>
          <bgColor auto="1"/>
        </patternFill>
      </fill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0" formatCode="General"/>
    </dxf>
    <dxf>
      <numFmt numFmtId="14" formatCode="0.00%"/>
    </dxf>
    <dxf>
      <numFmt numFmtId="19" formatCode="dd/mm/yyyy"/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powerPivotData" Target="model/item.data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4" xr16:uid="{00000000-0016-0000-0200-000000000000}" autoFormatId="16" applyNumberFormats="0" applyBorderFormats="0" applyFontFormats="0" applyPatternFormats="0" applyAlignmentFormats="0" applyWidthHeightFormats="0">
  <queryTableRefresh nextId="12">
    <queryTableFields count="8">
      <queryTableField id="1" name="Индекс" tableColumnId="1"/>
      <queryTableField id="2" name="Дата" tableColumnId="2"/>
      <queryTableField id="4" name="План" tableColumnId="4"/>
      <queryTableField id="5" name="Факт" tableColumnId="5"/>
      <queryTableField id="6" name="ставка ЦБ" tableColumnId="6"/>
      <queryTableField id="7" name="дней" tableColumnId="7"/>
      <queryTableField id="10" name="недоплата" tableColumnId="10"/>
      <queryTableField id="11" name="%% по ставке ЦБ" tableColumnId="11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connectionId="1" xr16:uid="{00000000-0016-0000-0300-000001000000}" autoFormatId="16" applyNumberFormats="0" applyBorderFormats="0" applyFontFormats="0" applyPatternFormats="0" applyAlignmentFormats="0" applyWidthHeightFormats="0">
  <queryTableRefresh nextId="14" unboundColumnsRight="6">
    <queryTableFields count="12">
      <queryTableField id="1" name="Индекс" tableColumnId="1"/>
      <queryTableField id="3" name="Дата" tableColumnId="3"/>
      <queryTableField id="2" name="Дней в году" tableColumnId="2"/>
      <queryTableField id="4" name="План" tableColumnId="4"/>
      <queryTableField id="5" name="Факт" tableColumnId="5"/>
      <queryTableField id="6" name="ставка ЦБ" tableColumnId="6"/>
      <queryTableField id="12" dataBound="0" tableColumnId="7"/>
      <queryTableField id="11" dataBound="0" tableColumnId="8"/>
      <queryTableField id="10" dataBound="0" tableColumnId="9"/>
      <queryTableField id="9" dataBound="0" tableColumnId="10"/>
      <queryTableField id="8" dataBound="0" tableColumnId="11"/>
      <queryTableField id="7" dataBound="0" tableColumnId="12"/>
    </queryTableFields>
  </queryTableRefresh>
  <extLst>
    <ext xmlns:x15="http://schemas.microsoft.com/office/spreadsheetml/2010/11/main" uri="{883FBD77-0823-4a55-B5E3-86C4891E6966}">
      <x15:queryTable sourceDataName="Запрос — Все в одной таблице"/>
    </ext>
  </extLst>
</queryTable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ОплатаПоДоговору" displayName="ОплатаПоДоговору" ref="A11:C17" totalsRowCount="1" headerRowDxfId="51" headerRowBorderDxfId="50" tableBorderDxfId="49">
  <autoFilter ref="A11:C16" xr:uid="{00000000-0009-0000-0100-000002000000}"/>
  <tableColumns count="3">
    <tableColumn id="1" xr3:uid="{00000000-0010-0000-0100-000001000000}" name="Дата" totalsRowLabel="Итог" dataDxfId="48" totalsRowDxfId="47"/>
    <tableColumn id="2" xr3:uid="{00000000-0010-0000-0100-000002000000}" name="Значение" totalsRowFunction="sum" dataDxfId="46" totalsRowDxfId="45"/>
    <tableColumn id="3" xr3:uid="{00000000-0010-0000-0100-000003000000}" name="статус" dataDxfId="44">
      <calculatedColumnFormula>"План"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ФактическиеОплаты" displayName="ФактическиеОплаты" ref="E11:G26" totalsRowCount="1" headerRowDxfId="43" headerRowBorderDxfId="42" tableBorderDxfId="41">
  <autoFilter ref="E11:G25" xr:uid="{00000000-0009-0000-0100-000003000000}"/>
  <tableColumns count="3">
    <tableColumn id="1" xr3:uid="{00000000-0010-0000-0200-000001000000}" name="Дата" totalsRowLabel="Итог" dataDxfId="40" totalsRowDxfId="39"/>
    <tableColumn id="2" xr3:uid="{00000000-0010-0000-0200-000002000000}" name="Значение" totalsRowFunction="sum" dataDxfId="38" totalsRowDxfId="37"/>
    <tableColumn id="3" xr3:uid="{00000000-0010-0000-0200-000003000000}" name="статус" dataDxfId="36" totalsRowDxfId="35">
      <calculatedColumnFormula>"Факт"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СтавкаРефинансированияЦБРФ" displayName="СтавкаРефинансированияЦБРФ" ref="A3:C10" totalsRowShown="0" headerRowDxfId="34" headerRowBorderDxfId="33">
  <autoFilter ref="A3:C10" xr:uid="{00000000-0009-0000-0100-000001000000}"/>
  <tableColumns count="3">
    <tableColumn id="1" xr3:uid="{00000000-0010-0000-0400-000001000000}" name="Дата" dataDxfId="32"/>
    <tableColumn id="2" xr3:uid="{00000000-0010-0000-0400-000002000000}" name="Значение" dataDxfId="31"/>
    <tableColumn id="3" xr3:uid="{00000000-0010-0000-0400-000003000000}" name="статус" dataDxfId="30">
      <calculatedColumnFormula>"ставка ЦБ"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04D055A-017E-4630-89A7-A8E2181A1B8D}" name="СлужебныеДаты" displayName="СлужебныеДаты" ref="F3:H7" totalsRowShown="0" headerRowDxfId="29" dataDxfId="28" tableBorderDxfId="27">
  <autoFilter ref="F3:H7" xr:uid="{D8D69B39-424E-4B66-9182-89369C526D07}"/>
  <sortState ref="F4:G5">
    <sortCondition ref="F4"/>
  </sortState>
  <tableColumns count="3">
    <tableColumn id="1" xr3:uid="{9400454F-BA7C-47E3-9E56-B44B919A5D88}" name="Дата" dataDxfId="26">
      <calculatedColumnFormula>TODAY()</calculatedColumnFormula>
    </tableColumn>
    <tableColumn id="3" xr3:uid="{1E895013-E93A-4BE2-ADD7-50D61239A356}" name="статус" dataDxfId="25"/>
    <tableColumn id="4" xr3:uid="{1B2C4520-0CCD-4FE1-A17F-F9E53C73F5F3}" name="Дней в году" dataDxfId="24">
      <calculatedColumnFormula>DATE( YEAR(СлужебныеДаты[[#This Row],[Дата]]),12,31)-DATE(YEAR(СлужебныеДаты[[#This Row],[Дата]]),1,1)+1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E1BC132-963A-4D2A-A9B6-B01ED3092AE5}" name="Все_в_одной_таблице_out" displayName="Все_в_одной_таблице_out" ref="A1:H27" tableType="queryTable" headerRowDxfId="23">
  <autoFilter ref="A1:H27" xr:uid="{A08C354B-E0BD-41B2-9582-A0D135BD5982}"/>
  <tableColumns count="8">
    <tableColumn id="1" xr3:uid="{A9BB1EC6-F3BA-4757-B95A-BE532DDD73AE}" uniqueName="1" name="Индекс" totalsRowLabel="Итог" queryTableFieldId="1"/>
    <tableColumn id="2" xr3:uid="{38E9F613-8832-493C-9E43-81BB6A2AE310}" uniqueName="2" name="Дата" queryTableFieldId="2" dataDxfId="22"/>
    <tableColumn id="4" xr3:uid="{C82094E8-05C3-43EE-90D2-08324315C637}" uniqueName="4" name="План" queryTableFieldId="4" dataDxfId="21"/>
    <tableColumn id="5" xr3:uid="{853C49E5-D2E4-482A-9936-7102950DB4E4}" uniqueName="5" name="Факт" queryTableFieldId="5" dataDxfId="20"/>
    <tableColumn id="6" xr3:uid="{CF5336B4-554F-4108-A452-78B4742716DB}" uniqueName="6" name="ставка ЦБ" queryTableFieldId="6" dataDxfId="19"/>
    <tableColumn id="7" xr3:uid="{A2364D07-9C5B-498D-A320-AC75F64E4C28}" uniqueName="7" name="дней" queryTableFieldId="7"/>
    <tableColumn id="10" xr3:uid="{675F3B04-6D73-4B48-9957-4CF9E6D4015B}" uniqueName="10" name="недоплата" queryTableFieldId="10" dataDxfId="18"/>
    <tableColumn id="11" xr3:uid="{82D9076C-384D-4BA9-8574-7CD6432D5AEF}" uniqueName="11" name="%% по ставке ЦБ" totalsRowFunction="sum" queryTableFieldId="11" dataDxfId="17" totalsRowDxfId="16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25BD7D2-F081-46B8-8F12-0E5535E6C5CE}" name="Все_в_одной_таблице" displayName="Все_в_одной_таблице" ref="A1:L27" tableType="queryTable" headerRowDxfId="15">
  <autoFilter ref="A1:L27" xr:uid="{90A2CD9A-DE1B-4F65-BC28-DA8803037E92}"/>
  <tableColumns count="12">
    <tableColumn id="1" xr3:uid="{603871C1-7248-47B9-B2C1-C936391054F7}" uniqueName="1" name="Индекс" totalsRowLabel="Итог" queryTableFieldId="1" dataDxfId="14"/>
    <tableColumn id="3" xr3:uid="{691E20CF-CD15-4286-BC5C-35121BBA75A1}" uniqueName="3" name="Дата" queryTableFieldId="3" dataDxfId="13"/>
    <tableColumn id="2" xr3:uid="{FD860F87-0D33-41E7-9DA1-E9A132E0FB8A}" uniqueName="2" name="Дней в году" queryTableFieldId="2" dataDxfId="12"/>
    <tableColumn id="4" xr3:uid="{1AC8D626-63ED-49FA-A74A-1F4ABF9B60E9}" uniqueName="4" name="План" totalsRowFunction="sum" queryTableFieldId="4" dataDxfId="11"/>
    <tableColumn id="5" xr3:uid="{28099B92-3233-4FEC-9FB3-E6D4D66BE128}" uniqueName="5" name="Факт" totalsRowFunction="sum" queryTableFieldId="5" dataDxfId="10"/>
    <tableColumn id="6" xr3:uid="{DC77317D-2AC9-4F7A-9064-E8B66BE1EFEB}" uniqueName="6" name="ставка ЦБ" queryTableFieldId="6" dataDxfId="9"/>
    <tableColumn id="7" xr3:uid="{58D7CAC7-7512-4CE5-99C6-4896547F5470}" uniqueName="7" name="ПредыдущаяДата" queryTableFieldId="12" dataDxfId="8">
      <calculatedColumnFormula>IF(Все_в_одной_таблице[[#This Row],[Индекс]]=0,VLOOKUP(Все_в_одной_таблице[[#This Row],[Индекс]],Все_в_одной_таблице[],2),VLOOKUP(Все_в_одной_таблице[[#This Row],[Индекс]]-1,Все_в_одной_таблице[],2))</calculatedColumnFormula>
    </tableColumn>
    <tableColumn id="8" xr3:uid="{2D0A9028-646C-423D-B696-DCC98DC2D73A}" uniqueName="8" name="дней" queryTableFieldId="11" dataDxfId="7">
      <calculatedColumnFormula>Все_в_одной_таблице[[#This Row],[Дата]]-Все_в_одной_таблице[[#This Row],[ПредыдущаяДата]]</calculatedColumnFormula>
    </tableColumn>
    <tableColumn id="9" xr3:uid="{0A91F7CC-6289-446C-A621-3FD45B263A1E}" uniqueName="9" name="нарастающие плановые остатки" queryTableFieldId="10" dataDxfId="6" totalsRowDxfId="5">
      <calculatedColumnFormula>SUM(OFFSET(Все_в_одной_таблице[[#Headers],[План]],1,0,Все_в_одной_таблице[[#This Row],[Индекс]]+1,1))</calculatedColumnFormula>
    </tableColumn>
    <tableColumn id="10" xr3:uid="{B1399A98-B9DA-49E2-ABAE-0DC9562CBD5A}" uniqueName="10" name="нарастающие факт оплаты" queryTableFieldId="9" dataDxfId="4" totalsRowDxfId="3">
      <calculatedColumnFormula>SUM(OFFSET(Все_в_одной_таблице[[#Headers],[Факт]],1,0,Все_в_одной_таблице[[#This Row],[Индекс]]+1,1))</calculatedColumnFormula>
    </tableColumn>
    <tableColumn id="11" xr3:uid="{FA7D1F6C-80F9-4E9A-A91A-0A5DEEB5BE89}" uniqueName="11" name="недоплата" queryTableFieldId="8" dataDxfId="2">
      <calculatedColumnFormula>IF((Все_в_одной_таблице[[#This Row],[нарастающие плановые остатки]]-Все_в_одной_таблице[[#This Row],[нарастающие факт оплаты]])&gt;0,(Все_в_одной_таблице[[#This Row],[нарастающие плановые остатки]]-Все_в_одной_таблице[[#This Row],[нарастающие факт оплаты]]),0)</calculatedColumnFormula>
    </tableColumn>
    <tableColumn id="12" xr3:uid="{C3BEB160-46AD-418C-9CB4-8B7C1CEDFA89}" uniqueName="12" name="%% по ставке ЦБ" totalsRowFunction="sum" queryTableFieldId="7" dataDxfId="1" totalsRowDxfId="0">
      <calculatedColumnFormula>Все_в_одной_таблице[[#This Row],[дней]]*Все_в_одной_таблице[[#This Row],[недоплата]]*Все_в_одной_таблице[[#This Row],[ставка ЦБ]]/Все_в_одной_таблице[[#This Row],[Дней в году]]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tabSelected="1" workbookViewId="0">
      <selection activeCell="F8" sqref="F8"/>
    </sheetView>
  </sheetViews>
  <sheetFormatPr defaultRowHeight="14.5" x14ac:dyDescent="0.35"/>
  <cols>
    <col min="1" max="1" width="12.36328125" style="45" customWidth="1"/>
    <col min="2" max="2" width="15.1796875" style="44" bestFit="1" customWidth="1"/>
    <col min="3" max="3" width="8.54296875" style="45" bestFit="1" customWidth="1"/>
    <col min="4" max="4" width="2.81640625" style="45" customWidth="1"/>
    <col min="5" max="5" width="16.36328125" style="45" customWidth="1"/>
    <col min="6" max="6" width="11.54296875" style="45" customWidth="1"/>
    <col min="7" max="7" width="8.54296875" style="45" bestFit="1" customWidth="1"/>
    <col min="8" max="8" width="2.90625" style="45" customWidth="1"/>
    <col min="9" max="16384" width="8.7265625" style="45"/>
  </cols>
  <sheetData>
    <row r="1" spans="1:7" ht="15.5" x14ac:dyDescent="0.35">
      <c r="A1" s="43" t="s">
        <v>13</v>
      </c>
    </row>
    <row r="2" spans="1:7" x14ac:dyDescent="0.35">
      <c r="A2" s="45" t="s">
        <v>24</v>
      </c>
    </row>
    <row r="3" spans="1:7" x14ac:dyDescent="0.35">
      <c r="A3" s="45" t="s">
        <v>25</v>
      </c>
    </row>
    <row r="4" spans="1:7" x14ac:dyDescent="0.35">
      <c r="A4" s="45" t="s">
        <v>26</v>
      </c>
    </row>
    <row r="5" spans="1:7" x14ac:dyDescent="0.35">
      <c r="A5" s="45" t="s">
        <v>27</v>
      </c>
    </row>
    <row r="6" spans="1:7" x14ac:dyDescent="0.35">
      <c r="A6" s="46"/>
    </row>
    <row r="7" spans="1:7" ht="15.5" x14ac:dyDescent="0.35">
      <c r="A7" s="47" t="s">
        <v>14</v>
      </c>
      <c r="F7" s="48">
        <f>SUBTOTAL(109,Все_в_одной_таблице_out[%% по ставке ЦБ])</f>
        <v>117497.5110412456</v>
      </c>
      <c r="G7" s="45" t="s">
        <v>15</v>
      </c>
    </row>
    <row r="8" spans="1:7" ht="15.5" x14ac:dyDescent="0.35">
      <c r="A8" s="47" t="s">
        <v>29</v>
      </c>
      <c r="F8" s="49">
        <f>SUBTOTAL(104,Все_в_одной_таблице_out[Дата])</f>
        <v>43002</v>
      </c>
    </row>
    <row r="10" spans="1:7" x14ac:dyDescent="0.35">
      <c r="A10" s="50" t="s">
        <v>1</v>
      </c>
      <c r="E10" s="50" t="s">
        <v>2</v>
      </c>
      <c r="F10" s="44"/>
    </row>
    <row r="11" spans="1:7" s="54" customFormat="1" x14ac:dyDescent="0.35">
      <c r="A11" s="51" t="s">
        <v>4</v>
      </c>
      <c r="B11" s="52" t="s">
        <v>5</v>
      </c>
      <c r="C11" s="53" t="s">
        <v>3</v>
      </c>
      <c r="E11" s="51" t="s">
        <v>4</v>
      </c>
      <c r="F11" s="52" t="s">
        <v>5</v>
      </c>
      <c r="G11" s="53" t="s">
        <v>3</v>
      </c>
    </row>
    <row r="12" spans="1:7" x14ac:dyDescent="0.35">
      <c r="A12" s="55">
        <v>42583</v>
      </c>
      <c r="B12" s="56">
        <v>1000000</v>
      </c>
      <c r="C12" s="45" t="str">
        <f t="shared" ref="C12:C15" si="0">"План"</f>
        <v>План</v>
      </c>
      <c r="E12" s="57">
        <v>42768</v>
      </c>
      <c r="F12" s="58">
        <v>200000</v>
      </c>
      <c r="G12" s="45" t="str">
        <f t="shared" ref="G12:G21" si="1">"Факт"</f>
        <v>Факт</v>
      </c>
    </row>
    <row r="13" spans="1:7" x14ac:dyDescent="0.35">
      <c r="A13" s="57">
        <v>42801</v>
      </c>
      <c r="B13" s="58">
        <v>900000</v>
      </c>
      <c r="C13" s="45" t="str">
        <f t="shared" si="0"/>
        <v>План</v>
      </c>
      <c r="E13" s="57">
        <v>42794</v>
      </c>
      <c r="F13" s="58">
        <v>100000</v>
      </c>
      <c r="G13" s="45" t="str">
        <f t="shared" si="1"/>
        <v>Факт</v>
      </c>
    </row>
    <row r="14" spans="1:7" x14ac:dyDescent="0.35">
      <c r="A14" s="57">
        <v>42837</v>
      </c>
      <c r="B14" s="58">
        <v>500000</v>
      </c>
      <c r="C14" s="45" t="str">
        <f t="shared" si="0"/>
        <v>План</v>
      </c>
      <c r="E14" s="57">
        <v>42796</v>
      </c>
      <c r="F14" s="58">
        <v>300000</v>
      </c>
      <c r="G14" s="45" t="str">
        <f t="shared" si="1"/>
        <v>Факт</v>
      </c>
    </row>
    <row r="15" spans="1:7" x14ac:dyDescent="0.35">
      <c r="A15" s="59">
        <v>42880</v>
      </c>
      <c r="B15" s="60">
        <v>1000000</v>
      </c>
      <c r="C15" s="45" t="str">
        <f t="shared" si="0"/>
        <v>План</v>
      </c>
      <c r="E15" s="57">
        <v>42817</v>
      </c>
      <c r="F15" s="58">
        <v>200000</v>
      </c>
      <c r="G15" s="45" t="str">
        <f t="shared" si="1"/>
        <v>Факт</v>
      </c>
    </row>
    <row r="16" spans="1:7" x14ac:dyDescent="0.35">
      <c r="A16" s="59">
        <v>42979</v>
      </c>
      <c r="B16" s="60">
        <v>500000</v>
      </c>
      <c r="C16" s="61" t="str">
        <f>"План"</f>
        <v>План</v>
      </c>
      <c r="E16" s="57">
        <v>42821</v>
      </c>
      <c r="F16" s="58">
        <v>200000</v>
      </c>
      <c r="G16" s="45" t="str">
        <f t="shared" si="1"/>
        <v>Факт</v>
      </c>
    </row>
    <row r="17" spans="1:7" x14ac:dyDescent="0.35">
      <c r="A17" s="62" t="s">
        <v>18</v>
      </c>
      <c r="B17" s="60">
        <f>SUBTOTAL(109,ОплатаПоДоговору[Значение])</f>
        <v>3900000</v>
      </c>
      <c r="E17" s="57">
        <v>42822</v>
      </c>
      <c r="F17" s="58">
        <v>100000</v>
      </c>
      <c r="G17" s="45" t="str">
        <f t="shared" si="1"/>
        <v>Факт</v>
      </c>
    </row>
    <row r="18" spans="1:7" x14ac:dyDescent="0.35">
      <c r="E18" s="57">
        <v>42873</v>
      </c>
      <c r="F18" s="58">
        <v>100000</v>
      </c>
      <c r="G18" s="45" t="str">
        <f t="shared" si="1"/>
        <v>Факт</v>
      </c>
    </row>
    <row r="19" spans="1:7" x14ac:dyDescent="0.35">
      <c r="E19" s="57">
        <v>42877</v>
      </c>
      <c r="F19" s="58">
        <v>100000</v>
      </c>
      <c r="G19" s="45" t="str">
        <f t="shared" si="1"/>
        <v>Факт</v>
      </c>
    </row>
    <row r="20" spans="1:7" x14ac:dyDescent="0.35">
      <c r="E20" s="57">
        <v>42879</v>
      </c>
      <c r="F20" s="58">
        <v>100000</v>
      </c>
      <c r="G20" s="61" t="str">
        <f t="shared" si="1"/>
        <v>Факт</v>
      </c>
    </row>
    <row r="21" spans="1:7" x14ac:dyDescent="0.35">
      <c r="E21" s="57">
        <v>42902</v>
      </c>
      <c r="F21" s="58">
        <v>100000</v>
      </c>
      <c r="G21" s="63" t="str">
        <f t="shared" si="1"/>
        <v>Факт</v>
      </c>
    </row>
    <row r="22" spans="1:7" x14ac:dyDescent="0.35">
      <c r="E22" s="57">
        <v>42913</v>
      </c>
      <c r="F22" s="58">
        <v>100000</v>
      </c>
      <c r="G22" s="61" t="s">
        <v>7</v>
      </c>
    </row>
    <row r="23" spans="1:7" x14ac:dyDescent="0.35">
      <c r="E23" s="59">
        <v>42839</v>
      </c>
      <c r="F23" s="60">
        <v>500000</v>
      </c>
      <c r="G23" s="61" t="s">
        <v>7</v>
      </c>
    </row>
    <row r="24" spans="1:7" x14ac:dyDescent="0.35">
      <c r="E24" s="59">
        <v>42979</v>
      </c>
      <c r="F24" s="60">
        <v>1000000</v>
      </c>
      <c r="G24" s="61" t="str">
        <f>"Факт"</f>
        <v>Факт</v>
      </c>
    </row>
    <row r="25" spans="1:7" x14ac:dyDescent="0.35">
      <c r="E25" s="59">
        <v>42983</v>
      </c>
      <c r="F25" s="60">
        <v>50000</v>
      </c>
      <c r="G25" s="61" t="str">
        <f>"Факт"</f>
        <v>Факт</v>
      </c>
    </row>
    <row r="26" spans="1:7" x14ac:dyDescent="0.35">
      <c r="E26" s="62" t="s">
        <v>18</v>
      </c>
      <c r="F26" s="60">
        <f>SUBTOTAL(109,ФактическиеОплаты[Значение])</f>
        <v>3150000</v>
      </c>
      <c r="G26" s="61"/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1"/>
  <sheetViews>
    <sheetView workbookViewId="0">
      <selection activeCell="D7" sqref="D7"/>
    </sheetView>
  </sheetViews>
  <sheetFormatPr defaultRowHeight="14.5" x14ac:dyDescent="0.35"/>
  <cols>
    <col min="1" max="2" width="11.453125" customWidth="1"/>
    <col min="3" max="3" width="11.1796875" customWidth="1"/>
    <col min="6" max="6" width="11.26953125" customWidth="1"/>
    <col min="7" max="7" width="12" customWidth="1"/>
    <col min="8" max="8" width="8.08984375" customWidth="1"/>
  </cols>
  <sheetData>
    <row r="2" spans="1:9" ht="15.5" x14ac:dyDescent="0.35">
      <c r="A2" s="6" t="s">
        <v>0</v>
      </c>
      <c r="F2" s="6" t="s">
        <v>19</v>
      </c>
    </row>
    <row r="3" spans="1:9" s="5" customFormat="1" ht="31.5" customHeight="1" x14ac:dyDescent="0.35">
      <c r="A3" s="7" t="s">
        <v>4</v>
      </c>
      <c r="B3" s="8" t="s">
        <v>5</v>
      </c>
      <c r="C3" s="9" t="s">
        <v>3</v>
      </c>
      <c r="F3" s="12" t="s">
        <v>4</v>
      </c>
      <c r="G3" s="12" t="s">
        <v>3</v>
      </c>
      <c r="H3" s="23" t="s">
        <v>28</v>
      </c>
    </row>
    <row r="4" spans="1:9" x14ac:dyDescent="0.35">
      <c r="A4" s="3">
        <v>42370</v>
      </c>
      <c r="B4" s="4">
        <v>0.11</v>
      </c>
      <c r="C4" t="str">
        <f t="shared" ref="C4:C8" si="0">"ставка ЦБ"</f>
        <v>ставка ЦБ</v>
      </c>
      <c r="F4" s="14">
        <v>42370</v>
      </c>
      <c r="G4" s="15" t="s">
        <v>20</v>
      </c>
      <c r="H4" s="13">
        <f>DATE( YEAR(СлужебныеДаты[[#This Row],[Дата]]),12,31)-DATE(YEAR(СлужебныеДаты[[#This Row],[Дата]]),1,1)+1</f>
        <v>366</v>
      </c>
    </row>
    <row r="5" spans="1:9" x14ac:dyDescent="0.35">
      <c r="A5" s="3">
        <v>42535</v>
      </c>
      <c r="B5" s="4">
        <v>0.105</v>
      </c>
      <c r="C5" t="str">
        <f t="shared" si="0"/>
        <v>ставка ЦБ</v>
      </c>
      <c r="F5" s="16">
        <v>42736</v>
      </c>
      <c r="G5" s="17" t="s">
        <v>16</v>
      </c>
      <c r="H5" s="13">
        <f>DATE( YEAR(СлужебныеДаты[[#This Row],[Дата]]),12,31)-DATE(YEAR(СлужебныеДаты[[#This Row],[Дата]]),1,1)+1</f>
        <v>365</v>
      </c>
      <c r="I5" s="11"/>
    </row>
    <row r="6" spans="1:9" x14ac:dyDescent="0.35">
      <c r="A6" s="3">
        <v>42632</v>
      </c>
      <c r="B6" s="4">
        <v>0.1</v>
      </c>
      <c r="C6" t="str">
        <f t="shared" si="0"/>
        <v>ставка ЦБ</v>
      </c>
      <c r="F6" s="18">
        <v>42370</v>
      </c>
      <c r="G6" s="17" t="s">
        <v>16</v>
      </c>
      <c r="H6" s="19">
        <f>DATE( YEAR(СлужебныеДаты[[#This Row],[Дата]]),12,31)-DATE(YEAR(СлужебныеДаты[[#This Row],[Дата]]),1,1)+1</f>
        <v>366</v>
      </c>
    </row>
    <row r="7" spans="1:9" x14ac:dyDescent="0.35">
      <c r="A7" s="3">
        <v>42821</v>
      </c>
      <c r="B7" s="4">
        <v>9.7500000000000003E-2</v>
      </c>
      <c r="C7" t="str">
        <f t="shared" si="0"/>
        <v>ставка ЦБ</v>
      </c>
      <c r="F7" s="20">
        <f ca="1">TODAY()</f>
        <v>43002</v>
      </c>
      <c r="G7" s="21" t="s">
        <v>17</v>
      </c>
      <c r="H7" s="22">
        <f ca="1">DATE( YEAR(СлужебныеДаты[[#This Row],[Дата]]),12,31)-DATE(YEAR(СлужебныеДаты[[#This Row],[Дата]]),1,1)+1</f>
        <v>365</v>
      </c>
    </row>
    <row r="8" spans="1:9" x14ac:dyDescent="0.35">
      <c r="A8" s="3">
        <v>42857</v>
      </c>
      <c r="B8" s="4">
        <v>9.2499999999999999E-2</v>
      </c>
      <c r="C8" t="str">
        <f t="shared" si="0"/>
        <v>ставка ЦБ</v>
      </c>
      <c r="F8" s="1"/>
      <c r="G8" s="1"/>
      <c r="H8" s="1"/>
    </row>
    <row r="9" spans="1:9" x14ac:dyDescent="0.35">
      <c r="A9" s="3">
        <v>42905</v>
      </c>
      <c r="B9" s="4">
        <v>0.09</v>
      </c>
      <c r="C9" s="10" t="str">
        <f>"ставка ЦБ"</f>
        <v>ставка ЦБ</v>
      </c>
    </row>
    <row r="10" spans="1:9" x14ac:dyDescent="0.35">
      <c r="A10" s="3">
        <v>42996</v>
      </c>
      <c r="B10" s="4">
        <v>8.5000000000000006E-2</v>
      </c>
      <c r="C10" s="10" t="str">
        <f>"ставка ЦБ"</f>
        <v>ставка ЦБ</v>
      </c>
    </row>
    <row r="11" spans="1:9" x14ac:dyDescent="0.35">
      <c r="B11" s="4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75556-DA84-43D3-85D5-60D850755BF7}">
  <sheetPr>
    <pageSetUpPr fitToPage="1"/>
  </sheetPr>
  <dimension ref="A1:H27"/>
  <sheetViews>
    <sheetView zoomScale="90" zoomScaleNormal="90" workbookViewId="0">
      <selection activeCell="B1" sqref="B1"/>
    </sheetView>
  </sheetViews>
  <sheetFormatPr defaultRowHeight="14.5" x14ac:dyDescent="0.35"/>
  <cols>
    <col min="1" max="1" width="12.453125" bestFit="1" customWidth="1"/>
    <col min="2" max="2" width="10.08984375" bestFit="1" customWidth="1"/>
    <col min="3" max="4" width="11.54296875" bestFit="1" customWidth="1"/>
    <col min="5" max="5" width="14.54296875" bestFit="1" customWidth="1"/>
    <col min="6" max="6" width="10.36328125" bestFit="1" customWidth="1"/>
    <col min="7" max="7" width="15.453125" bestFit="1" customWidth="1"/>
    <col min="8" max="8" width="20.90625" bestFit="1" customWidth="1"/>
    <col min="9" max="9" width="23" bestFit="1" customWidth="1"/>
    <col min="10" max="10" width="15.54296875" bestFit="1" customWidth="1"/>
    <col min="11" max="11" width="21" bestFit="1" customWidth="1"/>
  </cols>
  <sheetData>
    <row r="1" spans="1:8" x14ac:dyDescent="0.35">
      <c r="A1" s="5" t="s">
        <v>21</v>
      </c>
      <c r="B1" s="5" t="s">
        <v>4</v>
      </c>
      <c r="C1" s="5" t="s">
        <v>6</v>
      </c>
      <c r="D1" s="5" t="s">
        <v>7</v>
      </c>
      <c r="E1" s="5" t="s">
        <v>8</v>
      </c>
      <c r="F1" s="5" t="s">
        <v>12</v>
      </c>
      <c r="G1" s="5" t="s">
        <v>11</v>
      </c>
      <c r="H1" s="5" t="s">
        <v>23</v>
      </c>
    </row>
    <row r="2" spans="1:8" x14ac:dyDescent="0.35">
      <c r="A2">
        <v>0</v>
      </c>
      <c r="B2" s="24">
        <v>42370</v>
      </c>
      <c r="C2" s="2"/>
      <c r="D2" s="2"/>
      <c r="E2" s="4">
        <v>0.11</v>
      </c>
      <c r="F2">
        <v>0</v>
      </c>
      <c r="G2" s="2">
        <v>0</v>
      </c>
      <c r="H2" s="2">
        <v>0</v>
      </c>
    </row>
    <row r="3" spans="1:8" x14ac:dyDescent="0.35">
      <c r="A3">
        <v>1</v>
      </c>
      <c r="B3" s="24">
        <v>42535</v>
      </c>
      <c r="C3" s="2"/>
      <c r="D3" s="2"/>
      <c r="E3" s="4">
        <v>0.105</v>
      </c>
      <c r="F3">
        <v>165</v>
      </c>
      <c r="G3" s="2">
        <v>0</v>
      </c>
      <c r="H3" s="2">
        <v>0</v>
      </c>
    </row>
    <row r="4" spans="1:8" x14ac:dyDescent="0.35">
      <c r="A4">
        <v>2</v>
      </c>
      <c r="B4" s="24">
        <v>42583</v>
      </c>
      <c r="C4" s="2">
        <v>1000000</v>
      </c>
      <c r="D4" s="2"/>
      <c r="E4" s="4">
        <v>0.105</v>
      </c>
      <c r="F4">
        <v>48</v>
      </c>
      <c r="G4" s="2">
        <v>1000000</v>
      </c>
      <c r="H4" s="2">
        <v>13770.491803278688</v>
      </c>
    </row>
    <row r="5" spans="1:8" x14ac:dyDescent="0.35">
      <c r="A5">
        <v>3</v>
      </c>
      <c r="B5" s="24">
        <v>42632</v>
      </c>
      <c r="C5" s="2"/>
      <c r="D5" s="2"/>
      <c r="E5" s="4">
        <v>0.1</v>
      </c>
      <c r="F5">
        <v>49</v>
      </c>
      <c r="G5" s="2">
        <v>1000000</v>
      </c>
      <c r="H5" s="2">
        <v>13387.978142076503</v>
      </c>
    </row>
    <row r="6" spans="1:8" x14ac:dyDescent="0.35">
      <c r="A6">
        <v>4</v>
      </c>
      <c r="B6" s="24">
        <v>42736</v>
      </c>
      <c r="C6" s="2"/>
      <c r="D6" s="2"/>
      <c r="E6" s="4">
        <v>0.1</v>
      </c>
      <c r="F6">
        <v>104</v>
      </c>
      <c r="G6" s="2">
        <v>1000000</v>
      </c>
      <c r="H6" s="2">
        <v>28493.150684931508</v>
      </c>
    </row>
    <row r="7" spans="1:8" x14ac:dyDescent="0.35">
      <c r="A7">
        <v>5</v>
      </c>
      <c r="B7" s="24">
        <v>42768</v>
      </c>
      <c r="C7" s="2"/>
      <c r="D7" s="2">
        <v>200000</v>
      </c>
      <c r="E7" s="4">
        <v>0.1</v>
      </c>
      <c r="F7">
        <v>32</v>
      </c>
      <c r="G7" s="2">
        <v>800000</v>
      </c>
      <c r="H7" s="2">
        <v>7013.6986301369861</v>
      </c>
    </row>
    <row r="8" spans="1:8" x14ac:dyDescent="0.35">
      <c r="A8">
        <v>6</v>
      </c>
      <c r="B8" s="24">
        <v>42794</v>
      </c>
      <c r="C8" s="2"/>
      <c r="D8" s="2">
        <v>100000</v>
      </c>
      <c r="E8" s="4">
        <v>0.1</v>
      </c>
      <c r="F8">
        <v>26</v>
      </c>
      <c r="G8" s="2">
        <v>700000</v>
      </c>
      <c r="H8" s="2">
        <v>4986.3013698630139</v>
      </c>
    </row>
    <row r="9" spans="1:8" x14ac:dyDescent="0.35">
      <c r="A9">
        <v>7</v>
      </c>
      <c r="B9" s="24">
        <v>42796</v>
      </c>
      <c r="C9" s="2"/>
      <c r="D9" s="2">
        <v>300000</v>
      </c>
      <c r="E9" s="4">
        <v>0.1</v>
      </c>
      <c r="F9">
        <v>2</v>
      </c>
      <c r="G9" s="2">
        <v>400000</v>
      </c>
      <c r="H9" s="2">
        <v>219.17808219178082</v>
      </c>
    </row>
    <row r="10" spans="1:8" x14ac:dyDescent="0.35">
      <c r="A10">
        <v>8</v>
      </c>
      <c r="B10" s="24">
        <v>42801</v>
      </c>
      <c r="C10" s="2">
        <v>900000</v>
      </c>
      <c r="D10" s="2"/>
      <c r="E10" s="4">
        <v>0.1</v>
      </c>
      <c r="F10">
        <v>5</v>
      </c>
      <c r="G10" s="2">
        <v>1300000</v>
      </c>
      <c r="H10" s="2">
        <v>1780.8219178082193</v>
      </c>
    </row>
    <row r="11" spans="1:8" x14ac:dyDescent="0.35">
      <c r="A11">
        <v>9</v>
      </c>
      <c r="B11" s="24">
        <v>42817</v>
      </c>
      <c r="C11" s="2"/>
      <c r="D11" s="2">
        <v>200000</v>
      </c>
      <c r="E11" s="4">
        <v>0.1</v>
      </c>
      <c r="F11">
        <v>16</v>
      </c>
      <c r="G11" s="2">
        <v>1100000</v>
      </c>
      <c r="H11" s="2">
        <v>4821.9178082191784</v>
      </c>
    </row>
    <row r="12" spans="1:8" x14ac:dyDescent="0.35">
      <c r="A12">
        <v>10</v>
      </c>
      <c r="B12" s="24">
        <v>42821</v>
      </c>
      <c r="C12" s="2"/>
      <c r="D12" s="2">
        <v>200000</v>
      </c>
      <c r="E12" s="4">
        <v>9.7500000000000003E-2</v>
      </c>
      <c r="F12">
        <v>4</v>
      </c>
      <c r="G12" s="2">
        <v>900000</v>
      </c>
      <c r="H12" s="2">
        <v>961.64383561643831</v>
      </c>
    </row>
    <row r="13" spans="1:8" x14ac:dyDescent="0.35">
      <c r="A13">
        <v>11</v>
      </c>
      <c r="B13" s="24">
        <v>42822</v>
      </c>
      <c r="C13" s="2"/>
      <c r="D13" s="2">
        <v>100000</v>
      </c>
      <c r="E13" s="4">
        <v>9.7500000000000003E-2</v>
      </c>
      <c r="F13">
        <v>1</v>
      </c>
      <c r="G13" s="2">
        <v>800000</v>
      </c>
      <c r="H13" s="2">
        <v>213.69863013698631</v>
      </c>
    </row>
    <row r="14" spans="1:8" x14ac:dyDescent="0.35">
      <c r="A14">
        <v>12</v>
      </c>
      <c r="B14" s="24">
        <v>42837</v>
      </c>
      <c r="C14" s="2">
        <v>500000</v>
      </c>
      <c r="D14" s="2"/>
      <c r="E14" s="4">
        <v>9.7500000000000003E-2</v>
      </c>
      <c r="F14">
        <v>15</v>
      </c>
      <c r="G14" s="2">
        <v>1300000</v>
      </c>
      <c r="H14" s="2">
        <v>5208.9041095890407</v>
      </c>
    </row>
    <row r="15" spans="1:8" x14ac:dyDescent="0.35">
      <c r="A15">
        <v>13</v>
      </c>
      <c r="B15" s="24">
        <v>42839</v>
      </c>
      <c r="C15" s="2"/>
      <c r="D15" s="2">
        <v>500000</v>
      </c>
      <c r="E15" s="4">
        <v>9.7500000000000003E-2</v>
      </c>
      <c r="F15">
        <v>2</v>
      </c>
      <c r="G15" s="2">
        <v>800000</v>
      </c>
      <c r="H15" s="2">
        <v>427.39726027397262</v>
      </c>
    </row>
    <row r="16" spans="1:8" x14ac:dyDescent="0.35">
      <c r="A16">
        <v>14</v>
      </c>
      <c r="B16" s="24">
        <v>42857</v>
      </c>
      <c r="C16" s="2"/>
      <c r="D16" s="2"/>
      <c r="E16" s="4">
        <v>9.2499999999999999E-2</v>
      </c>
      <c r="F16">
        <v>18</v>
      </c>
      <c r="G16" s="2">
        <v>800000</v>
      </c>
      <c r="H16" s="2">
        <v>3649.3150684931506</v>
      </c>
    </row>
    <row r="17" spans="1:8" x14ac:dyDescent="0.35">
      <c r="A17">
        <v>15</v>
      </c>
      <c r="B17" s="24">
        <v>42873</v>
      </c>
      <c r="C17" s="2"/>
      <c r="D17" s="2">
        <v>100000</v>
      </c>
      <c r="E17" s="4">
        <v>9.2499999999999999E-2</v>
      </c>
      <c r="F17">
        <v>16</v>
      </c>
      <c r="G17" s="2">
        <v>700000</v>
      </c>
      <c r="H17" s="2">
        <v>2838.3561643835615</v>
      </c>
    </row>
    <row r="18" spans="1:8" x14ac:dyDescent="0.35">
      <c r="A18">
        <v>16</v>
      </c>
      <c r="B18" s="24">
        <v>42877</v>
      </c>
      <c r="C18" s="2"/>
      <c r="D18" s="2">
        <v>100000</v>
      </c>
      <c r="E18" s="4">
        <v>9.2499999999999999E-2</v>
      </c>
      <c r="F18">
        <v>4</v>
      </c>
      <c r="G18" s="2">
        <v>600000</v>
      </c>
      <c r="H18" s="2">
        <v>608.21917808219177</v>
      </c>
    </row>
    <row r="19" spans="1:8" x14ac:dyDescent="0.35">
      <c r="A19">
        <v>17</v>
      </c>
      <c r="B19" s="24">
        <v>42879</v>
      </c>
      <c r="C19" s="2"/>
      <c r="D19" s="2">
        <v>100000</v>
      </c>
      <c r="E19" s="4">
        <v>9.2499999999999999E-2</v>
      </c>
      <c r="F19">
        <v>2</v>
      </c>
      <c r="G19" s="2">
        <v>500000</v>
      </c>
      <c r="H19" s="2">
        <v>253.42465753424656</v>
      </c>
    </row>
    <row r="20" spans="1:8" x14ac:dyDescent="0.35">
      <c r="A20">
        <v>18</v>
      </c>
      <c r="B20" s="24">
        <v>42880</v>
      </c>
      <c r="C20" s="2">
        <v>1000000</v>
      </c>
      <c r="D20" s="2"/>
      <c r="E20" s="4">
        <v>9.2499999999999999E-2</v>
      </c>
      <c r="F20">
        <v>1</v>
      </c>
      <c r="G20" s="2">
        <v>1500000</v>
      </c>
      <c r="H20" s="2">
        <v>380.13698630136986</v>
      </c>
    </row>
    <row r="21" spans="1:8" x14ac:dyDescent="0.35">
      <c r="A21">
        <v>19</v>
      </c>
      <c r="B21" s="24">
        <v>42902</v>
      </c>
      <c r="C21" s="2"/>
      <c r="D21" s="2">
        <v>100000</v>
      </c>
      <c r="E21" s="4">
        <v>9.2499999999999999E-2</v>
      </c>
      <c r="F21">
        <v>22</v>
      </c>
      <c r="G21" s="2">
        <v>1400000</v>
      </c>
      <c r="H21" s="2">
        <v>7805.4794520547948</v>
      </c>
    </row>
    <row r="22" spans="1:8" x14ac:dyDescent="0.35">
      <c r="A22">
        <v>20</v>
      </c>
      <c r="B22" s="24">
        <v>42905</v>
      </c>
      <c r="C22" s="2"/>
      <c r="D22" s="2"/>
      <c r="E22" s="4">
        <v>0.09</v>
      </c>
      <c r="F22">
        <v>3</v>
      </c>
      <c r="G22" s="2">
        <v>1400000</v>
      </c>
      <c r="H22" s="2">
        <v>1035.6164383561643</v>
      </c>
    </row>
    <row r="23" spans="1:8" x14ac:dyDescent="0.35">
      <c r="A23">
        <v>21</v>
      </c>
      <c r="B23" s="24">
        <v>42913</v>
      </c>
      <c r="C23" s="2"/>
      <c r="D23" s="2">
        <v>100000</v>
      </c>
      <c r="E23" s="4">
        <v>0.09</v>
      </c>
      <c r="F23">
        <v>8</v>
      </c>
      <c r="G23" s="2">
        <v>1300000</v>
      </c>
      <c r="H23" s="2">
        <v>2564.3835616438355</v>
      </c>
    </row>
    <row r="24" spans="1:8" x14ac:dyDescent="0.35">
      <c r="A24">
        <v>22</v>
      </c>
      <c r="B24" s="24">
        <v>42979</v>
      </c>
      <c r="C24" s="2">
        <v>500000</v>
      </c>
      <c r="D24" s="2">
        <v>1000000</v>
      </c>
      <c r="E24" s="4">
        <v>0.09</v>
      </c>
      <c r="F24">
        <v>66</v>
      </c>
      <c r="G24" s="2">
        <v>800000</v>
      </c>
      <c r="H24" s="2">
        <v>13019.17808219178</v>
      </c>
    </row>
    <row r="25" spans="1:8" x14ac:dyDescent="0.35">
      <c r="A25">
        <v>23</v>
      </c>
      <c r="B25" s="24">
        <v>42983</v>
      </c>
      <c r="C25" s="2"/>
      <c r="D25" s="2">
        <v>50000</v>
      </c>
      <c r="E25" s="4">
        <v>0.09</v>
      </c>
      <c r="F25">
        <v>4</v>
      </c>
      <c r="G25" s="2">
        <v>750000</v>
      </c>
      <c r="H25" s="2">
        <v>739.72602739726028</v>
      </c>
    </row>
    <row r="26" spans="1:8" x14ac:dyDescent="0.35">
      <c r="A26">
        <v>24</v>
      </c>
      <c r="B26" s="24">
        <v>42996</v>
      </c>
      <c r="C26" s="2"/>
      <c r="D26" s="2"/>
      <c r="E26" s="4">
        <v>8.5000000000000006E-2</v>
      </c>
      <c r="F26">
        <v>13</v>
      </c>
      <c r="G26" s="2">
        <v>750000</v>
      </c>
      <c r="H26" s="2">
        <v>2270.5479452054797</v>
      </c>
    </row>
    <row r="27" spans="1:8" x14ac:dyDescent="0.35">
      <c r="A27">
        <v>25</v>
      </c>
      <c r="B27" s="24">
        <v>43002</v>
      </c>
      <c r="C27" s="2"/>
      <c r="D27" s="2"/>
      <c r="E27" s="4">
        <v>8.5000000000000006E-2</v>
      </c>
      <c r="F27">
        <v>6</v>
      </c>
      <c r="G27" s="2">
        <v>750000</v>
      </c>
      <c r="H27" s="2">
        <v>1047.9452054794519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79F44-69BE-4F34-9C20-BDA07407A79F}">
  <dimension ref="A1:L27"/>
  <sheetViews>
    <sheetView zoomScaleNormal="100" workbookViewId="0">
      <selection activeCell="L1" sqref="L1"/>
    </sheetView>
  </sheetViews>
  <sheetFormatPr defaultRowHeight="14.5" x14ac:dyDescent="0.35"/>
  <cols>
    <col min="1" max="1" width="11.7265625" style="29" bestFit="1" customWidth="1"/>
    <col min="2" max="2" width="9.90625" style="29" bestFit="1" customWidth="1"/>
    <col min="3" max="3" width="15.7265625" style="29" bestFit="1" customWidth="1"/>
    <col min="4" max="5" width="11.1796875" style="29" bestFit="1" customWidth="1"/>
    <col min="6" max="6" width="13.81640625" style="29" bestFit="1" customWidth="1"/>
    <col min="7" max="7" width="21.26953125" style="29" bestFit="1" customWidth="1"/>
    <col min="8" max="8" width="9.7265625" style="29" bestFit="1" customWidth="1"/>
    <col min="9" max="9" width="21.36328125" style="42" bestFit="1" customWidth="1"/>
    <col min="10" max="10" width="17.453125" style="42" bestFit="1" customWidth="1"/>
    <col min="11" max="11" width="14.7265625" style="29" bestFit="1" customWidth="1"/>
    <col min="12" max="12" width="19.90625" style="29" bestFit="1" customWidth="1"/>
    <col min="13" max="16384" width="8.7265625" style="29"/>
  </cols>
  <sheetData>
    <row r="1" spans="1:12" s="28" customFormat="1" ht="29" x14ac:dyDescent="0.35">
      <c r="A1" s="25" t="s">
        <v>21</v>
      </c>
      <c r="B1" s="26" t="s">
        <v>4</v>
      </c>
      <c r="C1" s="25" t="s">
        <v>28</v>
      </c>
      <c r="D1" s="25" t="s">
        <v>6</v>
      </c>
      <c r="E1" s="25" t="s">
        <v>7</v>
      </c>
      <c r="F1" s="25" t="s">
        <v>8</v>
      </c>
      <c r="G1" s="25" t="s">
        <v>22</v>
      </c>
      <c r="H1" s="25" t="s">
        <v>12</v>
      </c>
      <c r="I1" s="27" t="s">
        <v>10</v>
      </c>
      <c r="J1" s="27" t="s">
        <v>9</v>
      </c>
      <c r="K1" s="27" t="s">
        <v>11</v>
      </c>
      <c r="L1" s="25" t="s">
        <v>23</v>
      </c>
    </row>
    <row r="2" spans="1:12" s="28" customFormat="1" x14ac:dyDescent="0.35">
      <c r="A2" s="29">
        <v>0</v>
      </c>
      <c r="B2" s="30">
        <v>42370</v>
      </c>
      <c r="C2" s="29">
        <v>366</v>
      </c>
      <c r="D2" s="31">
        <v>0</v>
      </c>
      <c r="E2" s="31">
        <v>0</v>
      </c>
      <c r="F2" s="32">
        <v>0.11</v>
      </c>
      <c r="G2" s="33">
        <f>IF(Все_в_одной_таблице[[#This Row],[Индекс]]=0,VLOOKUP(Все_в_одной_таблице[[#This Row],[Индекс]],Все_в_одной_таблице[],2),VLOOKUP(Все_в_одной_таблице[[#This Row],[Индекс]]-1,Все_в_одной_таблице[],2))</f>
        <v>42370</v>
      </c>
      <c r="H2" s="34">
        <f>Все_в_одной_таблице[[#This Row],[Дата]]-Все_в_одной_таблице[[#This Row],[ПредыдущаяДата]]</f>
        <v>0</v>
      </c>
      <c r="I2" s="35">
        <f ca="1">SUM(OFFSET(Все_в_одной_таблице[[#Headers],[План]],1,0,Все_в_одной_таблице[[#This Row],[Индекс]]+1,1))</f>
        <v>0</v>
      </c>
      <c r="J2" s="35">
        <f ca="1">SUM(OFFSET(Все_в_одной_таблице[[#Headers],[Факт]],1,0,Все_в_одной_таблице[[#This Row],[Индекс]]+1,1))</f>
        <v>0</v>
      </c>
      <c r="K2" s="36">
        <f ca="1">IF((Все_в_одной_таблице[[#This Row],[нарастающие плановые остатки]]-Все_в_одной_таблице[[#This Row],[нарастающие факт оплаты]])&gt;0,(Все_в_одной_таблице[[#This Row],[нарастающие плановые остатки]]-Все_в_одной_таблице[[#This Row],[нарастающие факт оплаты]]),0)</f>
        <v>0</v>
      </c>
      <c r="L2" s="37">
        <f ca="1">Все_в_одной_таблице[[#This Row],[дней]]*Все_в_одной_таблице[[#This Row],[недоплата]]*Все_в_одной_таблице[[#This Row],[ставка ЦБ]]/Все_в_одной_таблице[[#This Row],[Дней в году]]</f>
        <v>0</v>
      </c>
    </row>
    <row r="3" spans="1:12" s="28" customFormat="1" x14ac:dyDescent="0.35">
      <c r="A3" s="29">
        <v>1</v>
      </c>
      <c r="B3" s="30">
        <v>42535</v>
      </c>
      <c r="C3" s="29">
        <v>366</v>
      </c>
      <c r="D3" s="31">
        <v>0</v>
      </c>
      <c r="E3" s="31">
        <v>0</v>
      </c>
      <c r="F3" s="32">
        <v>0.105</v>
      </c>
      <c r="G3" s="38">
        <f>IF(Все_в_одной_таблице[[#This Row],[Индекс]]=0,VLOOKUP(Все_в_одной_таблице[[#This Row],[Индекс]],Все_в_одной_таблице[],2),VLOOKUP(Все_в_одной_таблице[[#This Row],[Индекс]]-1,Все_в_одной_таблице[],2))</f>
        <v>42370</v>
      </c>
      <c r="H3" s="28">
        <f>Все_в_одной_таблице[[#This Row],[Дата]]-Все_в_одной_таблице[[#This Row],[ПредыдущаяДата]]</f>
        <v>165</v>
      </c>
      <c r="I3" s="39">
        <f ca="1">SUM(OFFSET(Все_в_одной_таблице[[#Headers],[План]],1,0,Все_в_одной_таблице[[#This Row],[Индекс]]+1,1))</f>
        <v>0</v>
      </c>
      <c r="J3" s="39">
        <f ca="1">SUM(OFFSET(Все_в_одной_таблице[[#Headers],[Факт]],1,0,Все_в_одной_таблице[[#This Row],[Индекс]]+1,1))</f>
        <v>0</v>
      </c>
      <c r="K3" s="39">
        <f ca="1">IF((Все_в_одной_таблице[[#This Row],[нарастающие плановые остатки]]-Все_в_одной_таблице[[#This Row],[нарастающие факт оплаты]])&gt;0,(Все_в_одной_таблице[[#This Row],[нарастающие плановые остатки]]-Все_в_одной_таблице[[#This Row],[нарастающие факт оплаты]]),0)</f>
        <v>0</v>
      </c>
      <c r="L3" s="39">
        <f ca="1">Все_в_одной_таблице[[#This Row],[дней]]*Все_в_одной_таблице[[#This Row],[недоплата]]*Все_в_одной_таблице[[#This Row],[ставка ЦБ]]/Все_в_одной_таблице[[#This Row],[Дней в году]]</f>
        <v>0</v>
      </c>
    </row>
    <row r="4" spans="1:12" s="28" customFormat="1" x14ac:dyDescent="0.35">
      <c r="A4" s="29">
        <v>2</v>
      </c>
      <c r="B4" s="30">
        <v>42583</v>
      </c>
      <c r="C4" s="29">
        <v>366</v>
      </c>
      <c r="D4" s="31">
        <v>1000000</v>
      </c>
      <c r="E4" s="31">
        <v>0</v>
      </c>
      <c r="F4" s="32">
        <v>0.105</v>
      </c>
      <c r="G4" s="38">
        <f>IF(Все_в_одной_таблице[[#This Row],[Индекс]]=0,VLOOKUP(Все_в_одной_таблице[[#This Row],[Индекс]],Все_в_одной_таблице[],2),VLOOKUP(Все_в_одной_таблице[[#This Row],[Индекс]]-1,Все_в_одной_таблице[],2))</f>
        <v>42535</v>
      </c>
      <c r="H4" s="28">
        <f>Все_в_одной_таблице[[#This Row],[Дата]]-Все_в_одной_таблице[[#This Row],[ПредыдущаяДата]]</f>
        <v>48</v>
      </c>
      <c r="I4" s="39">
        <f ca="1">SUM(OFFSET(Все_в_одной_таблице[[#Headers],[План]],1,0,Все_в_одной_таблице[[#This Row],[Индекс]]+1,1))</f>
        <v>1000000</v>
      </c>
      <c r="J4" s="39">
        <f ca="1">SUM(OFFSET(Все_в_одной_таблице[[#Headers],[Факт]],1,0,Все_в_одной_таблице[[#This Row],[Индекс]]+1,1))</f>
        <v>0</v>
      </c>
      <c r="K4" s="39">
        <f ca="1">IF((Все_в_одной_таблице[[#This Row],[нарастающие плановые остатки]]-Все_в_одной_таблице[[#This Row],[нарастающие факт оплаты]])&gt;0,(Все_в_одной_таблице[[#This Row],[нарастающие плановые остатки]]-Все_в_одной_таблице[[#This Row],[нарастающие факт оплаты]]),0)</f>
        <v>1000000</v>
      </c>
      <c r="L4" s="39">
        <f ca="1">Все_в_одной_таблице[[#This Row],[дней]]*Все_в_одной_таблице[[#This Row],[недоплата]]*Все_в_одной_таблице[[#This Row],[ставка ЦБ]]/Все_в_одной_таблице[[#This Row],[Дней в году]]</f>
        <v>13770.491803278688</v>
      </c>
    </row>
    <row r="5" spans="1:12" s="28" customFormat="1" x14ac:dyDescent="0.35">
      <c r="A5" s="29">
        <v>3</v>
      </c>
      <c r="B5" s="30">
        <v>42632</v>
      </c>
      <c r="C5" s="29">
        <v>366</v>
      </c>
      <c r="D5" s="31">
        <v>0</v>
      </c>
      <c r="E5" s="31">
        <v>0</v>
      </c>
      <c r="F5" s="32">
        <v>0.1</v>
      </c>
      <c r="G5" s="38">
        <f>IF(Все_в_одной_таблице[[#This Row],[Индекс]]=0,VLOOKUP(Все_в_одной_таблице[[#This Row],[Индекс]],Все_в_одной_таблице[],2),VLOOKUP(Все_в_одной_таблице[[#This Row],[Индекс]]-1,Все_в_одной_таблице[],2))</f>
        <v>42583</v>
      </c>
      <c r="H5" s="28">
        <f>Все_в_одной_таблице[[#This Row],[Дата]]-Все_в_одной_таблице[[#This Row],[ПредыдущаяДата]]</f>
        <v>49</v>
      </c>
      <c r="I5" s="39">
        <f ca="1">SUM(OFFSET(Все_в_одной_таблице[[#Headers],[План]],1,0,Все_в_одной_таблице[[#This Row],[Индекс]]+1,1))</f>
        <v>1000000</v>
      </c>
      <c r="J5" s="39">
        <f ca="1">SUM(OFFSET(Все_в_одной_таблице[[#Headers],[Факт]],1,0,Все_в_одной_таблице[[#This Row],[Индекс]]+1,1))</f>
        <v>0</v>
      </c>
      <c r="K5" s="39">
        <f ca="1">IF((Все_в_одной_таблице[[#This Row],[нарастающие плановые остатки]]-Все_в_одной_таблице[[#This Row],[нарастающие факт оплаты]])&gt;0,(Все_в_одной_таблице[[#This Row],[нарастающие плановые остатки]]-Все_в_одной_таблице[[#This Row],[нарастающие факт оплаты]]),0)</f>
        <v>1000000</v>
      </c>
      <c r="L5" s="39">
        <f ca="1">Все_в_одной_таблице[[#This Row],[дней]]*Все_в_одной_таблице[[#This Row],[недоплата]]*Все_в_одной_таблице[[#This Row],[ставка ЦБ]]/Все_в_одной_таблице[[#This Row],[Дней в году]]</f>
        <v>13387.978142076503</v>
      </c>
    </row>
    <row r="6" spans="1:12" s="28" customFormat="1" x14ac:dyDescent="0.35">
      <c r="A6" s="29">
        <v>4</v>
      </c>
      <c r="B6" s="30">
        <v>42736</v>
      </c>
      <c r="C6" s="29">
        <v>365</v>
      </c>
      <c r="D6" s="31">
        <v>0</v>
      </c>
      <c r="E6" s="31">
        <v>0</v>
      </c>
      <c r="F6" s="32">
        <v>0.1</v>
      </c>
      <c r="G6" s="38">
        <f>IF(Все_в_одной_таблице[[#This Row],[Индекс]]=0,VLOOKUP(Все_в_одной_таблице[[#This Row],[Индекс]],Все_в_одной_таблице[],2),VLOOKUP(Все_в_одной_таблице[[#This Row],[Индекс]]-1,Все_в_одной_таблице[],2))</f>
        <v>42632</v>
      </c>
      <c r="H6" s="28">
        <f>Все_в_одной_таблице[[#This Row],[Дата]]-Все_в_одной_таблице[[#This Row],[ПредыдущаяДата]]</f>
        <v>104</v>
      </c>
      <c r="I6" s="39">
        <f ca="1">SUM(OFFSET(Все_в_одной_таблице[[#Headers],[План]],1,0,Все_в_одной_таблице[[#This Row],[Индекс]]+1,1))</f>
        <v>1000000</v>
      </c>
      <c r="J6" s="39">
        <f ca="1">SUM(OFFSET(Все_в_одной_таблице[[#Headers],[Факт]],1,0,Все_в_одной_таблице[[#This Row],[Индекс]]+1,1))</f>
        <v>0</v>
      </c>
      <c r="K6" s="39">
        <f ca="1">IF((Все_в_одной_таблице[[#This Row],[нарастающие плановые остатки]]-Все_в_одной_таблице[[#This Row],[нарастающие факт оплаты]])&gt;0,(Все_в_одной_таблице[[#This Row],[нарастающие плановые остатки]]-Все_в_одной_таблице[[#This Row],[нарастающие факт оплаты]]),0)</f>
        <v>1000000</v>
      </c>
      <c r="L6" s="39">
        <f ca="1">Все_в_одной_таблице[[#This Row],[дней]]*Все_в_одной_таблице[[#This Row],[недоплата]]*Все_в_одной_таблице[[#This Row],[ставка ЦБ]]/Все_в_одной_таблице[[#This Row],[Дней в году]]</f>
        <v>28493.150684931508</v>
      </c>
    </row>
    <row r="7" spans="1:12" x14ac:dyDescent="0.35">
      <c r="A7" s="29">
        <v>5</v>
      </c>
      <c r="B7" s="40">
        <v>42768</v>
      </c>
      <c r="C7" s="29">
        <v>365</v>
      </c>
      <c r="D7" s="31">
        <v>0</v>
      </c>
      <c r="E7" s="31">
        <v>200000</v>
      </c>
      <c r="F7" s="32">
        <v>0.1</v>
      </c>
      <c r="G7" s="33">
        <f>IF(Все_в_одной_таблице[[#This Row],[Индекс]]=0,VLOOKUP(Все_в_одной_таблице[[#This Row],[Индекс]],Все_в_одной_таблице[],2),VLOOKUP(Все_в_одной_таблице[[#This Row],[Индекс]]-1,Все_в_одной_таблице[],2))</f>
        <v>42736</v>
      </c>
      <c r="H7" s="29">
        <f>Все_в_одной_таблице[[#This Row],[Дата]]-Все_в_одной_таблице[[#This Row],[ПредыдущаяДата]]</f>
        <v>32</v>
      </c>
      <c r="I7" s="41">
        <f ca="1">SUM(OFFSET(Все_в_одной_таблице[[#Headers],[План]],1,0,Все_в_одной_таблице[[#This Row],[Индекс]]+1,1))</f>
        <v>1000000</v>
      </c>
      <c r="J7" s="41">
        <f ca="1">SUM(OFFSET(Все_в_одной_таблице[[#Headers],[Факт]],1,0,Все_в_одной_таблице[[#This Row],[Индекс]]+1,1))</f>
        <v>200000</v>
      </c>
      <c r="K7" s="31">
        <f ca="1">IF((Все_в_одной_таблице[[#This Row],[нарастающие плановые остатки]]-Все_в_одной_таблице[[#This Row],[нарастающие факт оплаты]])&gt;0,(Все_в_одной_таблице[[#This Row],[нарастающие плановые остатки]]-Все_в_одной_таблице[[#This Row],[нарастающие факт оплаты]]),0)</f>
        <v>800000</v>
      </c>
      <c r="L7" s="31">
        <f ca="1">Все_в_одной_таблице[[#This Row],[дней]]*Все_в_одной_таблице[[#This Row],[недоплата]]*Все_в_одной_таблице[[#This Row],[ставка ЦБ]]/Все_в_одной_таблице[[#This Row],[Дней в году]]</f>
        <v>7013.6986301369861</v>
      </c>
    </row>
    <row r="8" spans="1:12" x14ac:dyDescent="0.35">
      <c r="A8" s="29">
        <v>6</v>
      </c>
      <c r="B8" s="40">
        <v>42794</v>
      </c>
      <c r="C8" s="29">
        <v>365</v>
      </c>
      <c r="D8" s="31">
        <v>0</v>
      </c>
      <c r="E8" s="31">
        <v>100000</v>
      </c>
      <c r="F8" s="32">
        <v>0.1</v>
      </c>
      <c r="G8" s="33">
        <f>IF(Все_в_одной_таблице[[#This Row],[Индекс]]=0,VLOOKUP(Все_в_одной_таблице[[#This Row],[Индекс]],Все_в_одной_таблице[],2),VLOOKUP(Все_в_одной_таблице[[#This Row],[Индекс]]-1,Все_в_одной_таблице[],2))</f>
        <v>42768</v>
      </c>
      <c r="H8" s="29">
        <f>Все_в_одной_таблице[[#This Row],[Дата]]-Все_в_одной_таблице[[#This Row],[ПредыдущаяДата]]</f>
        <v>26</v>
      </c>
      <c r="I8" s="41">
        <f ca="1">SUM(OFFSET(Все_в_одной_таблице[[#Headers],[План]],1,0,Все_в_одной_таблице[[#This Row],[Индекс]]+1,1))</f>
        <v>1000000</v>
      </c>
      <c r="J8" s="41">
        <f ca="1">SUM(OFFSET(Все_в_одной_таблице[[#Headers],[Факт]],1,0,Все_в_одной_таблице[[#This Row],[Индекс]]+1,1))</f>
        <v>300000</v>
      </c>
      <c r="K8" s="31">
        <f ca="1">IF((Все_в_одной_таблице[[#This Row],[нарастающие плановые остатки]]-Все_в_одной_таблице[[#This Row],[нарастающие факт оплаты]])&gt;0,(Все_в_одной_таблице[[#This Row],[нарастающие плановые остатки]]-Все_в_одной_таблице[[#This Row],[нарастающие факт оплаты]]),0)</f>
        <v>700000</v>
      </c>
      <c r="L8" s="31">
        <f ca="1">Все_в_одной_таблице[[#This Row],[дней]]*Все_в_одной_таблице[[#This Row],[недоплата]]*Все_в_одной_таблице[[#This Row],[ставка ЦБ]]/Все_в_одной_таблице[[#This Row],[Дней в году]]</f>
        <v>4986.3013698630139</v>
      </c>
    </row>
    <row r="9" spans="1:12" x14ac:dyDescent="0.35">
      <c r="A9" s="29">
        <v>7</v>
      </c>
      <c r="B9" s="40">
        <v>42796</v>
      </c>
      <c r="C9" s="29">
        <v>365</v>
      </c>
      <c r="D9" s="31">
        <v>0</v>
      </c>
      <c r="E9" s="31">
        <v>300000</v>
      </c>
      <c r="F9" s="32">
        <v>0.1</v>
      </c>
      <c r="G9" s="33">
        <f>IF(Все_в_одной_таблице[[#This Row],[Индекс]]=0,VLOOKUP(Все_в_одной_таблице[[#This Row],[Индекс]],Все_в_одной_таблице[],2),VLOOKUP(Все_в_одной_таблице[[#This Row],[Индекс]]-1,Все_в_одной_таблице[],2))</f>
        <v>42794</v>
      </c>
      <c r="H9" s="29">
        <f>Все_в_одной_таблице[[#This Row],[Дата]]-Все_в_одной_таблице[[#This Row],[ПредыдущаяДата]]</f>
        <v>2</v>
      </c>
      <c r="I9" s="41">
        <f ca="1">SUM(OFFSET(Все_в_одной_таблице[[#Headers],[План]],1,0,Все_в_одной_таблице[[#This Row],[Индекс]]+1,1))</f>
        <v>1000000</v>
      </c>
      <c r="J9" s="41">
        <f ca="1">SUM(OFFSET(Все_в_одной_таблице[[#Headers],[Факт]],1,0,Все_в_одной_таблице[[#This Row],[Индекс]]+1,1))</f>
        <v>600000</v>
      </c>
      <c r="K9" s="31">
        <f ca="1">IF((Все_в_одной_таблице[[#This Row],[нарастающие плановые остатки]]-Все_в_одной_таблице[[#This Row],[нарастающие факт оплаты]])&gt;0,(Все_в_одной_таблице[[#This Row],[нарастающие плановые остатки]]-Все_в_одной_таблице[[#This Row],[нарастающие факт оплаты]]),0)</f>
        <v>400000</v>
      </c>
      <c r="L9" s="31">
        <f ca="1">Все_в_одной_таблице[[#This Row],[дней]]*Все_в_одной_таблице[[#This Row],[недоплата]]*Все_в_одной_таблице[[#This Row],[ставка ЦБ]]/Все_в_одной_таблице[[#This Row],[Дней в году]]</f>
        <v>219.17808219178082</v>
      </c>
    </row>
    <row r="10" spans="1:12" x14ac:dyDescent="0.35">
      <c r="A10" s="29">
        <v>8</v>
      </c>
      <c r="B10" s="40">
        <v>42801</v>
      </c>
      <c r="C10" s="29">
        <v>365</v>
      </c>
      <c r="D10" s="31">
        <v>900000</v>
      </c>
      <c r="E10" s="31">
        <v>0</v>
      </c>
      <c r="F10" s="32">
        <v>0.1</v>
      </c>
      <c r="G10" s="33">
        <f>IF(Все_в_одной_таблице[[#This Row],[Индекс]]=0,VLOOKUP(Все_в_одной_таблице[[#This Row],[Индекс]],Все_в_одной_таблице[],2),VLOOKUP(Все_в_одной_таблице[[#This Row],[Индекс]]-1,Все_в_одной_таблице[],2))</f>
        <v>42796</v>
      </c>
      <c r="H10" s="29">
        <f>Все_в_одной_таблице[[#This Row],[Дата]]-Все_в_одной_таблице[[#This Row],[ПредыдущаяДата]]</f>
        <v>5</v>
      </c>
      <c r="I10" s="41">
        <f ca="1">SUM(OFFSET(Все_в_одной_таблице[[#Headers],[План]],1,0,Все_в_одной_таблице[[#This Row],[Индекс]]+1,1))</f>
        <v>1900000</v>
      </c>
      <c r="J10" s="41">
        <f ca="1">SUM(OFFSET(Все_в_одной_таблице[[#Headers],[Факт]],1,0,Все_в_одной_таблице[[#This Row],[Индекс]]+1,1))</f>
        <v>600000</v>
      </c>
      <c r="K10" s="31">
        <f ca="1">IF((Все_в_одной_таблице[[#This Row],[нарастающие плановые остатки]]-Все_в_одной_таблице[[#This Row],[нарастающие факт оплаты]])&gt;0,(Все_в_одной_таблице[[#This Row],[нарастающие плановые остатки]]-Все_в_одной_таблице[[#This Row],[нарастающие факт оплаты]]),0)</f>
        <v>1300000</v>
      </c>
      <c r="L10" s="31">
        <f ca="1">Все_в_одной_таблице[[#This Row],[дней]]*Все_в_одной_таблице[[#This Row],[недоплата]]*Все_в_одной_таблице[[#This Row],[ставка ЦБ]]/Все_в_одной_таблице[[#This Row],[Дней в году]]</f>
        <v>1780.8219178082193</v>
      </c>
    </row>
    <row r="11" spans="1:12" x14ac:dyDescent="0.35">
      <c r="A11" s="29">
        <v>9</v>
      </c>
      <c r="B11" s="40">
        <v>42817</v>
      </c>
      <c r="C11" s="29">
        <v>365</v>
      </c>
      <c r="D11" s="31">
        <v>0</v>
      </c>
      <c r="E11" s="31">
        <v>200000</v>
      </c>
      <c r="F11" s="32">
        <v>0.1</v>
      </c>
      <c r="G11" s="33">
        <f>IF(Все_в_одной_таблице[[#This Row],[Индекс]]=0,VLOOKUP(Все_в_одной_таблице[[#This Row],[Индекс]],Все_в_одной_таблице[],2),VLOOKUP(Все_в_одной_таблице[[#This Row],[Индекс]]-1,Все_в_одной_таблице[],2))</f>
        <v>42801</v>
      </c>
      <c r="H11" s="29">
        <f>Все_в_одной_таблице[[#This Row],[Дата]]-Все_в_одной_таблице[[#This Row],[ПредыдущаяДата]]</f>
        <v>16</v>
      </c>
      <c r="I11" s="41">
        <f ca="1">SUM(OFFSET(Все_в_одной_таблице[[#Headers],[План]],1,0,Все_в_одной_таблице[[#This Row],[Индекс]]+1,1))</f>
        <v>1900000</v>
      </c>
      <c r="J11" s="41">
        <f ca="1">SUM(OFFSET(Все_в_одной_таблице[[#Headers],[Факт]],1,0,Все_в_одной_таблице[[#This Row],[Индекс]]+1,1))</f>
        <v>800000</v>
      </c>
      <c r="K11" s="31">
        <f ca="1">IF((Все_в_одной_таблице[[#This Row],[нарастающие плановые остатки]]-Все_в_одной_таблице[[#This Row],[нарастающие факт оплаты]])&gt;0,(Все_в_одной_таблице[[#This Row],[нарастающие плановые остатки]]-Все_в_одной_таблице[[#This Row],[нарастающие факт оплаты]]),0)</f>
        <v>1100000</v>
      </c>
      <c r="L11" s="31">
        <f ca="1">Все_в_одной_таблице[[#This Row],[дней]]*Все_в_одной_таблице[[#This Row],[недоплата]]*Все_в_одной_таблице[[#This Row],[ставка ЦБ]]/Все_в_одной_таблице[[#This Row],[Дней в году]]</f>
        <v>4821.9178082191784</v>
      </c>
    </row>
    <row r="12" spans="1:12" x14ac:dyDescent="0.35">
      <c r="A12" s="29">
        <v>10</v>
      </c>
      <c r="B12" s="40">
        <v>42821</v>
      </c>
      <c r="C12" s="29">
        <v>365</v>
      </c>
      <c r="D12" s="31">
        <v>0</v>
      </c>
      <c r="E12" s="31">
        <v>200000</v>
      </c>
      <c r="F12" s="32">
        <v>9.7500000000000003E-2</v>
      </c>
      <c r="G12" s="33">
        <f>IF(Все_в_одной_таблице[[#This Row],[Индекс]]=0,VLOOKUP(Все_в_одной_таблице[[#This Row],[Индекс]],Все_в_одной_таблице[],2),VLOOKUP(Все_в_одной_таблице[[#This Row],[Индекс]]-1,Все_в_одной_таблице[],2))</f>
        <v>42817</v>
      </c>
      <c r="H12" s="29">
        <f>Все_в_одной_таблице[[#This Row],[Дата]]-Все_в_одной_таблице[[#This Row],[ПредыдущаяДата]]</f>
        <v>4</v>
      </c>
      <c r="I12" s="41">
        <f ca="1">SUM(OFFSET(Все_в_одной_таблице[[#Headers],[План]],1,0,Все_в_одной_таблице[[#This Row],[Индекс]]+1,1))</f>
        <v>1900000</v>
      </c>
      <c r="J12" s="41">
        <f ca="1">SUM(OFFSET(Все_в_одной_таблице[[#Headers],[Факт]],1,0,Все_в_одной_таблице[[#This Row],[Индекс]]+1,1))</f>
        <v>1000000</v>
      </c>
      <c r="K12" s="31">
        <f ca="1">IF((Все_в_одной_таблице[[#This Row],[нарастающие плановые остатки]]-Все_в_одной_таблице[[#This Row],[нарастающие факт оплаты]])&gt;0,(Все_в_одной_таблице[[#This Row],[нарастающие плановые остатки]]-Все_в_одной_таблице[[#This Row],[нарастающие факт оплаты]]),0)</f>
        <v>900000</v>
      </c>
      <c r="L12" s="31">
        <f ca="1">Все_в_одной_таблице[[#This Row],[дней]]*Все_в_одной_таблице[[#This Row],[недоплата]]*Все_в_одной_таблице[[#This Row],[ставка ЦБ]]/Все_в_одной_таблице[[#This Row],[Дней в году]]</f>
        <v>961.64383561643831</v>
      </c>
    </row>
    <row r="13" spans="1:12" x14ac:dyDescent="0.35">
      <c r="A13" s="29">
        <v>11</v>
      </c>
      <c r="B13" s="40">
        <v>42822</v>
      </c>
      <c r="C13" s="29">
        <v>365</v>
      </c>
      <c r="D13" s="31">
        <v>0</v>
      </c>
      <c r="E13" s="31">
        <v>100000</v>
      </c>
      <c r="F13" s="32">
        <v>9.7500000000000003E-2</v>
      </c>
      <c r="G13" s="33">
        <f>IF(Все_в_одной_таблице[[#This Row],[Индекс]]=0,VLOOKUP(Все_в_одной_таблице[[#This Row],[Индекс]],Все_в_одной_таблице[],2),VLOOKUP(Все_в_одной_таблице[[#This Row],[Индекс]]-1,Все_в_одной_таблице[],2))</f>
        <v>42821</v>
      </c>
      <c r="H13" s="29">
        <f>Все_в_одной_таблице[[#This Row],[Дата]]-Все_в_одной_таблице[[#This Row],[ПредыдущаяДата]]</f>
        <v>1</v>
      </c>
      <c r="I13" s="41">
        <f ca="1">SUM(OFFSET(Все_в_одной_таблице[[#Headers],[План]],1,0,Все_в_одной_таблице[[#This Row],[Индекс]]+1,1))</f>
        <v>1900000</v>
      </c>
      <c r="J13" s="41">
        <f ca="1">SUM(OFFSET(Все_в_одной_таблице[[#Headers],[Факт]],1,0,Все_в_одной_таблице[[#This Row],[Индекс]]+1,1))</f>
        <v>1100000</v>
      </c>
      <c r="K13" s="31">
        <f ca="1">IF((Все_в_одной_таблице[[#This Row],[нарастающие плановые остатки]]-Все_в_одной_таблице[[#This Row],[нарастающие факт оплаты]])&gt;0,(Все_в_одной_таблице[[#This Row],[нарастающие плановые остатки]]-Все_в_одной_таблице[[#This Row],[нарастающие факт оплаты]]),0)</f>
        <v>800000</v>
      </c>
      <c r="L13" s="31">
        <f ca="1">Все_в_одной_таблице[[#This Row],[дней]]*Все_в_одной_таблице[[#This Row],[недоплата]]*Все_в_одной_таблице[[#This Row],[ставка ЦБ]]/Все_в_одной_таблице[[#This Row],[Дней в году]]</f>
        <v>213.69863013698631</v>
      </c>
    </row>
    <row r="14" spans="1:12" x14ac:dyDescent="0.35">
      <c r="A14" s="29">
        <v>12</v>
      </c>
      <c r="B14" s="40">
        <v>42837</v>
      </c>
      <c r="C14" s="29">
        <v>365</v>
      </c>
      <c r="D14" s="31">
        <v>500000</v>
      </c>
      <c r="E14" s="31">
        <v>0</v>
      </c>
      <c r="F14" s="32">
        <v>9.7500000000000003E-2</v>
      </c>
      <c r="G14" s="33">
        <f>IF(Все_в_одной_таблице[[#This Row],[Индекс]]=0,VLOOKUP(Все_в_одной_таблице[[#This Row],[Индекс]],Все_в_одной_таблице[],2),VLOOKUP(Все_в_одной_таблице[[#This Row],[Индекс]]-1,Все_в_одной_таблице[],2))</f>
        <v>42822</v>
      </c>
      <c r="H14" s="29">
        <f>Все_в_одной_таблице[[#This Row],[Дата]]-Все_в_одной_таблице[[#This Row],[ПредыдущаяДата]]</f>
        <v>15</v>
      </c>
      <c r="I14" s="41">
        <f ca="1">SUM(OFFSET(Все_в_одной_таблице[[#Headers],[План]],1,0,Все_в_одной_таблице[[#This Row],[Индекс]]+1,1))</f>
        <v>2400000</v>
      </c>
      <c r="J14" s="41">
        <f ca="1">SUM(OFFSET(Все_в_одной_таблице[[#Headers],[Факт]],1,0,Все_в_одной_таблице[[#This Row],[Индекс]]+1,1))</f>
        <v>1100000</v>
      </c>
      <c r="K14" s="31">
        <f ca="1">IF((Все_в_одной_таблице[[#This Row],[нарастающие плановые остатки]]-Все_в_одной_таблице[[#This Row],[нарастающие факт оплаты]])&gt;0,(Все_в_одной_таблице[[#This Row],[нарастающие плановые остатки]]-Все_в_одной_таблице[[#This Row],[нарастающие факт оплаты]]),0)</f>
        <v>1300000</v>
      </c>
      <c r="L14" s="31">
        <f ca="1">Все_в_одной_таблице[[#This Row],[дней]]*Все_в_одной_таблице[[#This Row],[недоплата]]*Все_в_одной_таблице[[#This Row],[ставка ЦБ]]/Все_в_одной_таблице[[#This Row],[Дней в году]]</f>
        <v>5208.9041095890407</v>
      </c>
    </row>
    <row r="15" spans="1:12" x14ac:dyDescent="0.35">
      <c r="A15" s="29">
        <v>13</v>
      </c>
      <c r="B15" s="40">
        <v>42839</v>
      </c>
      <c r="C15" s="29">
        <v>365</v>
      </c>
      <c r="D15" s="31">
        <v>0</v>
      </c>
      <c r="E15" s="31">
        <v>500000</v>
      </c>
      <c r="F15" s="32">
        <v>9.7500000000000003E-2</v>
      </c>
      <c r="G15" s="33">
        <f>IF(Все_в_одной_таблице[[#This Row],[Индекс]]=0,VLOOKUP(Все_в_одной_таблице[[#This Row],[Индекс]],Все_в_одной_таблице[],2),VLOOKUP(Все_в_одной_таблице[[#This Row],[Индекс]]-1,Все_в_одной_таблице[],2))</f>
        <v>42837</v>
      </c>
      <c r="H15" s="29">
        <f>Все_в_одной_таблице[[#This Row],[Дата]]-Все_в_одной_таблице[[#This Row],[ПредыдущаяДата]]</f>
        <v>2</v>
      </c>
      <c r="I15" s="41">
        <f ca="1">SUM(OFFSET(Все_в_одной_таблице[[#Headers],[План]],1,0,Все_в_одной_таблице[[#This Row],[Индекс]]+1,1))</f>
        <v>2400000</v>
      </c>
      <c r="J15" s="41">
        <f ca="1">SUM(OFFSET(Все_в_одной_таблице[[#Headers],[Факт]],1,0,Все_в_одной_таблице[[#This Row],[Индекс]]+1,1))</f>
        <v>1600000</v>
      </c>
      <c r="K15" s="31">
        <f ca="1">IF((Все_в_одной_таблице[[#This Row],[нарастающие плановые остатки]]-Все_в_одной_таблице[[#This Row],[нарастающие факт оплаты]])&gt;0,(Все_в_одной_таблице[[#This Row],[нарастающие плановые остатки]]-Все_в_одной_таблице[[#This Row],[нарастающие факт оплаты]]),0)</f>
        <v>800000</v>
      </c>
      <c r="L15" s="31">
        <f ca="1">Все_в_одной_таблице[[#This Row],[дней]]*Все_в_одной_таблице[[#This Row],[недоплата]]*Все_в_одной_таблице[[#This Row],[ставка ЦБ]]/Все_в_одной_таблице[[#This Row],[Дней в году]]</f>
        <v>427.39726027397262</v>
      </c>
    </row>
    <row r="16" spans="1:12" x14ac:dyDescent="0.35">
      <c r="A16" s="29">
        <v>14</v>
      </c>
      <c r="B16" s="40">
        <v>42857</v>
      </c>
      <c r="C16" s="29">
        <v>365</v>
      </c>
      <c r="D16" s="31">
        <v>0</v>
      </c>
      <c r="E16" s="31">
        <v>0</v>
      </c>
      <c r="F16" s="32">
        <v>9.2499999999999999E-2</v>
      </c>
      <c r="G16" s="33">
        <f>IF(Все_в_одной_таблице[[#This Row],[Индекс]]=0,VLOOKUP(Все_в_одной_таблице[[#This Row],[Индекс]],Все_в_одной_таблице[],2),VLOOKUP(Все_в_одной_таблице[[#This Row],[Индекс]]-1,Все_в_одной_таблице[],2))</f>
        <v>42839</v>
      </c>
      <c r="H16" s="29">
        <f>Все_в_одной_таблице[[#This Row],[Дата]]-Все_в_одной_таблице[[#This Row],[ПредыдущаяДата]]</f>
        <v>18</v>
      </c>
      <c r="I16" s="41">
        <f ca="1">SUM(OFFSET(Все_в_одной_таблице[[#Headers],[План]],1,0,Все_в_одной_таблице[[#This Row],[Индекс]]+1,1))</f>
        <v>2400000</v>
      </c>
      <c r="J16" s="41">
        <f ca="1">SUM(OFFSET(Все_в_одной_таблице[[#Headers],[Факт]],1,0,Все_в_одной_таблице[[#This Row],[Индекс]]+1,1))</f>
        <v>1600000</v>
      </c>
      <c r="K16" s="31">
        <f ca="1">IF((Все_в_одной_таблице[[#This Row],[нарастающие плановые остатки]]-Все_в_одной_таблице[[#This Row],[нарастающие факт оплаты]])&gt;0,(Все_в_одной_таблице[[#This Row],[нарастающие плановые остатки]]-Все_в_одной_таблице[[#This Row],[нарастающие факт оплаты]]),0)</f>
        <v>800000</v>
      </c>
      <c r="L16" s="31">
        <f ca="1">Все_в_одной_таблице[[#This Row],[дней]]*Все_в_одной_таблице[[#This Row],[недоплата]]*Все_в_одной_таблице[[#This Row],[ставка ЦБ]]/Все_в_одной_таблице[[#This Row],[Дней в году]]</f>
        <v>3649.3150684931506</v>
      </c>
    </row>
    <row r="17" spans="1:12" x14ac:dyDescent="0.35">
      <c r="A17" s="29">
        <v>15</v>
      </c>
      <c r="B17" s="40">
        <v>42873</v>
      </c>
      <c r="C17" s="29">
        <v>365</v>
      </c>
      <c r="D17" s="31">
        <v>0</v>
      </c>
      <c r="E17" s="31">
        <v>100000</v>
      </c>
      <c r="F17" s="32">
        <v>9.2499999999999999E-2</v>
      </c>
      <c r="G17" s="33">
        <f>IF(Все_в_одной_таблице[[#This Row],[Индекс]]=0,VLOOKUP(Все_в_одной_таблице[[#This Row],[Индекс]],Все_в_одной_таблице[],2),VLOOKUP(Все_в_одной_таблице[[#This Row],[Индекс]]-1,Все_в_одной_таблице[],2))</f>
        <v>42857</v>
      </c>
      <c r="H17" s="29">
        <f>Все_в_одной_таблице[[#This Row],[Дата]]-Все_в_одной_таблице[[#This Row],[ПредыдущаяДата]]</f>
        <v>16</v>
      </c>
      <c r="I17" s="41">
        <f ca="1">SUM(OFFSET(Все_в_одной_таблице[[#Headers],[План]],1,0,Все_в_одной_таблице[[#This Row],[Индекс]]+1,1))</f>
        <v>2400000</v>
      </c>
      <c r="J17" s="41">
        <f ca="1">SUM(OFFSET(Все_в_одной_таблице[[#Headers],[Факт]],1,0,Все_в_одной_таблице[[#This Row],[Индекс]]+1,1))</f>
        <v>1700000</v>
      </c>
      <c r="K17" s="31">
        <f ca="1">IF((Все_в_одной_таблице[[#This Row],[нарастающие плановые остатки]]-Все_в_одной_таблице[[#This Row],[нарастающие факт оплаты]])&gt;0,(Все_в_одной_таблице[[#This Row],[нарастающие плановые остатки]]-Все_в_одной_таблице[[#This Row],[нарастающие факт оплаты]]),0)</f>
        <v>700000</v>
      </c>
      <c r="L17" s="31">
        <f ca="1">Все_в_одной_таблице[[#This Row],[дней]]*Все_в_одной_таблице[[#This Row],[недоплата]]*Все_в_одной_таблице[[#This Row],[ставка ЦБ]]/Все_в_одной_таблице[[#This Row],[Дней в году]]</f>
        <v>2838.3561643835615</v>
      </c>
    </row>
    <row r="18" spans="1:12" x14ac:dyDescent="0.35">
      <c r="A18" s="29">
        <v>16</v>
      </c>
      <c r="B18" s="40">
        <v>42877</v>
      </c>
      <c r="C18" s="29">
        <v>365</v>
      </c>
      <c r="D18" s="31">
        <v>0</v>
      </c>
      <c r="E18" s="31">
        <v>100000</v>
      </c>
      <c r="F18" s="32">
        <v>9.2499999999999999E-2</v>
      </c>
      <c r="G18" s="33">
        <f>IF(Все_в_одной_таблице[[#This Row],[Индекс]]=0,VLOOKUP(Все_в_одной_таблице[[#This Row],[Индекс]],Все_в_одной_таблице[],2),VLOOKUP(Все_в_одной_таблице[[#This Row],[Индекс]]-1,Все_в_одной_таблице[],2))</f>
        <v>42873</v>
      </c>
      <c r="H18" s="29">
        <f>Все_в_одной_таблице[[#This Row],[Дата]]-Все_в_одной_таблице[[#This Row],[ПредыдущаяДата]]</f>
        <v>4</v>
      </c>
      <c r="I18" s="41">
        <f ca="1">SUM(OFFSET(Все_в_одной_таблице[[#Headers],[План]],1,0,Все_в_одной_таблице[[#This Row],[Индекс]]+1,1))</f>
        <v>2400000</v>
      </c>
      <c r="J18" s="41">
        <f ca="1">SUM(OFFSET(Все_в_одной_таблице[[#Headers],[Факт]],1,0,Все_в_одной_таблице[[#This Row],[Индекс]]+1,1))</f>
        <v>1800000</v>
      </c>
      <c r="K18" s="31">
        <f ca="1">IF((Все_в_одной_таблице[[#This Row],[нарастающие плановые остатки]]-Все_в_одной_таблице[[#This Row],[нарастающие факт оплаты]])&gt;0,(Все_в_одной_таблице[[#This Row],[нарастающие плановые остатки]]-Все_в_одной_таблице[[#This Row],[нарастающие факт оплаты]]),0)</f>
        <v>600000</v>
      </c>
      <c r="L18" s="31">
        <f ca="1">Все_в_одной_таблице[[#This Row],[дней]]*Все_в_одной_таблице[[#This Row],[недоплата]]*Все_в_одной_таблице[[#This Row],[ставка ЦБ]]/Все_в_одной_таблице[[#This Row],[Дней в году]]</f>
        <v>608.21917808219177</v>
      </c>
    </row>
    <row r="19" spans="1:12" x14ac:dyDescent="0.35">
      <c r="A19" s="29">
        <v>17</v>
      </c>
      <c r="B19" s="40">
        <v>42879</v>
      </c>
      <c r="C19" s="29">
        <v>365</v>
      </c>
      <c r="D19" s="31">
        <v>0</v>
      </c>
      <c r="E19" s="31">
        <v>100000</v>
      </c>
      <c r="F19" s="32">
        <v>9.2499999999999999E-2</v>
      </c>
      <c r="G19" s="33">
        <f>IF(Все_в_одной_таблице[[#This Row],[Индекс]]=0,VLOOKUP(Все_в_одной_таблице[[#This Row],[Индекс]],Все_в_одной_таблице[],2),VLOOKUP(Все_в_одной_таблице[[#This Row],[Индекс]]-1,Все_в_одной_таблице[],2))</f>
        <v>42877</v>
      </c>
      <c r="H19" s="29">
        <f>Все_в_одной_таблице[[#This Row],[Дата]]-Все_в_одной_таблице[[#This Row],[ПредыдущаяДата]]</f>
        <v>2</v>
      </c>
      <c r="I19" s="41">
        <f ca="1">SUM(OFFSET(Все_в_одной_таблице[[#Headers],[План]],1,0,Все_в_одной_таблице[[#This Row],[Индекс]]+1,1))</f>
        <v>2400000</v>
      </c>
      <c r="J19" s="41">
        <f ca="1">SUM(OFFSET(Все_в_одной_таблице[[#Headers],[Факт]],1,0,Все_в_одной_таблице[[#This Row],[Индекс]]+1,1))</f>
        <v>1900000</v>
      </c>
      <c r="K19" s="31">
        <f ca="1">IF((Все_в_одной_таблице[[#This Row],[нарастающие плановые остатки]]-Все_в_одной_таблице[[#This Row],[нарастающие факт оплаты]])&gt;0,(Все_в_одной_таблице[[#This Row],[нарастающие плановые остатки]]-Все_в_одной_таблице[[#This Row],[нарастающие факт оплаты]]),0)</f>
        <v>500000</v>
      </c>
      <c r="L19" s="31">
        <f ca="1">Все_в_одной_таблице[[#This Row],[дней]]*Все_в_одной_таблице[[#This Row],[недоплата]]*Все_в_одной_таблице[[#This Row],[ставка ЦБ]]/Все_в_одной_таблице[[#This Row],[Дней в году]]</f>
        <v>253.42465753424656</v>
      </c>
    </row>
    <row r="20" spans="1:12" x14ac:dyDescent="0.35">
      <c r="A20" s="29">
        <v>18</v>
      </c>
      <c r="B20" s="40">
        <v>42880</v>
      </c>
      <c r="C20" s="29">
        <v>365</v>
      </c>
      <c r="D20" s="31">
        <v>1000000</v>
      </c>
      <c r="E20" s="31">
        <v>0</v>
      </c>
      <c r="F20" s="32">
        <v>9.2499999999999999E-2</v>
      </c>
      <c r="G20" s="33">
        <f>IF(Все_в_одной_таблице[[#This Row],[Индекс]]=0,VLOOKUP(Все_в_одной_таблице[[#This Row],[Индекс]],Все_в_одной_таблице[],2),VLOOKUP(Все_в_одной_таблице[[#This Row],[Индекс]]-1,Все_в_одной_таблице[],2))</f>
        <v>42879</v>
      </c>
      <c r="H20" s="29">
        <f>Все_в_одной_таблице[[#This Row],[Дата]]-Все_в_одной_таблице[[#This Row],[ПредыдущаяДата]]</f>
        <v>1</v>
      </c>
      <c r="I20" s="41">
        <f ca="1">SUM(OFFSET(Все_в_одной_таблице[[#Headers],[План]],1,0,Все_в_одной_таблице[[#This Row],[Индекс]]+1,1))</f>
        <v>3400000</v>
      </c>
      <c r="J20" s="41">
        <f ca="1">SUM(OFFSET(Все_в_одной_таблице[[#Headers],[Факт]],1,0,Все_в_одной_таблице[[#This Row],[Индекс]]+1,1))</f>
        <v>1900000</v>
      </c>
      <c r="K20" s="31">
        <f ca="1">IF((Все_в_одной_таблице[[#This Row],[нарастающие плановые остатки]]-Все_в_одной_таблице[[#This Row],[нарастающие факт оплаты]])&gt;0,(Все_в_одной_таблице[[#This Row],[нарастающие плановые остатки]]-Все_в_одной_таблице[[#This Row],[нарастающие факт оплаты]]),0)</f>
        <v>1500000</v>
      </c>
      <c r="L20" s="31">
        <f ca="1">Все_в_одной_таблице[[#This Row],[дней]]*Все_в_одной_таблице[[#This Row],[недоплата]]*Все_в_одной_таблице[[#This Row],[ставка ЦБ]]/Все_в_одной_таблице[[#This Row],[Дней в году]]</f>
        <v>380.13698630136986</v>
      </c>
    </row>
    <row r="21" spans="1:12" x14ac:dyDescent="0.35">
      <c r="A21" s="29">
        <v>19</v>
      </c>
      <c r="B21" s="40">
        <v>42902</v>
      </c>
      <c r="C21" s="29">
        <v>365</v>
      </c>
      <c r="D21" s="31">
        <v>0</v>
      </c>
      <c r="E21" s="31">
        <v>100000</v>
      </c>
      <c r="F21" s="32">
        <v>9.2499999999999999E-2</v>
      </c>
      <c r="G21" s="33">
        <f>IF(Все_в_одной_таблице[[#This Row],[Индекс]]=0,VLOOKUP(Все_в_одной_таблице[[#This Row],[Индекс]],Все_в_одной_таблице[],2),VLOOKUP(Все_в_одной_таблице[[#This Row],[Индекс]]-1,Все_в_одной_таблице[],2))</f>
        <v>42880</v>
      </c>
      <c r="H21" s="29">
        <f>Все_в_одной_таблице[[#This Row],[Дата]]-Все_в_одной_таблице[[#This Row],[ПредыдущаяДата]]</f>
        <v>22</v>
      </c>
      <c r="I21" s="41">
        <f ca="1">SUM(OFFSET(Все_в_одной_таблице[[#Headers],[План]],1,0,Все_в_одной_таблице[[#This Row],[Индекс]]+1,1))</f>
        <v>3400000</v>
      </c>
      <c r="J21" s="41">
        <f ca="1">SUM(OFFSET(Все_в_одной_таблице[[#Headers],[Факт]],1,0,Все_в_одной_таблице[[#This Row],[Индекс]]+1,1))</f>
        <v>2000000</v>
      </c>
      <c r="K21" s="31">
        <f ca="1">IF((Все_в_одной_таблице[[#This Row],[нарастающие плановые остатки]]-Все_в_одной_таблице[[#This Row],[нарастающие факт оплаты]])&gt;0,(Все_в_одной_таблице[[#This Row],[нарастающие плановые остатки]]-Все_в_одной_таблице[[#This Row],[нарастающие факт оплаты]]),0)</f>
        <v>1400000</v>
      </c>
      <c r="L21" s="31">
        <f ca="1">Все_в_одной_таблице[[#This Row],[дней]]*Все_в_одной_таблице[[#This Row],[недоплата]]*Все_в_одной_таблице[[#This Row],[ставка ЦБ]]/Все_в_одной_таблице[[#This Row],[Дней в году]]</f>
        <v>7805.4794520547948</v>
      </c>
    </row>
    <row r="22" spans="1:12" x14ac:dyDescent="0.35">
      <c r="A22" s="29">
        <v>20</v>
      </c>
      <c r="B22" s="40">
        <v>42905</v>
      </c>
      <c r="C22" s="29">
        <v>365</v>
      </c>
      <c r="D22" s="31">
        <v>0</v>
      </c>
      <c r="E22" s="31">
        <v>0</v>
      </c>
      <c r="F22" s="32">
        <v>0.09</v>
      </c>
      <c r="G22" s="33">
        <f>IF(Все_в_одной_таблице[[#This Row],[Индекс]]=0,VLOOKUP(Все_в_одной_таблице[[#This Row],[Индекс]],Все_в_одной_таблице[],2),VLOOKUP(Все_в_одной_таблице[[#This Row],[Индекс]]-1,Все_в_одной_таблице[],2))</f>
        <v>42902</v>
      </c>
      <c r="H22" s="29">
        <f>Все_в_одной_таблице[[#This Row],[Дата]]-Все_в_одной_таблице[[#This Row],[ПредыдущаяДата]]</f>
        <v>3</v>
      </c>
      <c r="I22" s="41">
        <f ca="1">SUM(OFFSET(Все_в_одной_таблице[[#Headers],[План]],1,0,Все_в_одной_таблице[[#This Row],[Индекс]]+1,1))</f>
        <v>3400000</v>
      </c>
      <c r="J22" s="41">
        <f ca="1">SUM(OFFSET(Все_в_одной_таблице[[#Headers],[Факт]],1,0,Все_в_одной_таблице[[#This Row],[Индекс]]+1,1))</f>
        <v>2000000</v>
      </c>
      <c r="K22" s="31">
        <f ca="1">IF((Все_в_одной_таблице[[#This Row],[нарастающие плановые остатки]]-Все_в_одной_таблице[[#This Row],[нарастающие факт оплаты]])&gt;0,(Все_в_одной_таблице[[#This Row],[нарастающие плановые остатки]]-Все_в_одной_таблице[[#This Row],[нарастающие факт оплаты]]),0)</f>
        <v>1400000</v>
      </c>
      <c r="L22" s="31">
        <f ca="1">Все_в_одной_таблице[[#This Row],[дней]]*Все_в_одной_таблице[[#This Row],[недоплата]]*Все_в_одной_таблице[[#This Row],[ставка ЦБ]]/Все_в_одной_таблице[[#This Row],[Дней в году]]</f>
        <v>1035.6164383561643</v>
      </c>
    </row>
    <row r="23" spans="1:12" x14ac:dyDescent="0.35">
      <c r="A23" s="29">
        <v>21</v>
      </c>
      <c r="B23" s="40">
        <v>42913</v>
      </c>
      <c r="C23" s="29">
        <v>365</v>
      </c>
      <c r="D23" s="31">
        <v>0</v>
      </c>
      <c r="E23" s="31">
        <v>100000</v>
      </c>
      <c r="F23" s="32">
        <v>0.09</v>
      </c>
      <c r="G23" s="33">
        <f>IF(Все_в_одной_таблице[[#This Row],[Индекс]]=0,VLOOKUP(Все_в_одной_таблице[[#This Row],[Индекс]],Все_в_одной_таблице[],2),VLOOKUP(Все_в_одной_таблице[[#This Row],[Индекс]]-1,Все_в_одной_таблице[],2))</f>
        <v>42905</v>
      </c>
      <c r="H23" s="29">
        <f>Все_в_одной_таблице[[#This Row],[Дата]]-Все_в_одной_таблице[[#This Row],[ПредыдущаяДата]]</f>
        <v>8</v>
      </c>
      <c r="I23" s="41">
        <f ca="1">SUM(OFFSET(Все_в_одной_таблице[[#Headers],[План]],1,0,Все_в_одной_таблице[[#This Row],[Индекс]]+1,1))</f>
        <v>3400000</v>
      </c>
      <c r="J23" s="41">
        <f ca="1">SUM(OFFSET(Все_в_одной_таблице[[#Headers],[Факт]],1,0,Все_в_одной_таблице[[#This Row],[Индекс]]+1,1))</f>
        <v>2100000</v>
      </c>
      <c r="K23" s="31">
        <f ca="1">IF((Все_в_одной_таблице[[#This Row],[нарастающие плановые остатки]]-Все_в_одной_таблице[[#This Row],[нарастающие факт оплаты]])&gt;0,(Все_в_одной_таблице[[#This Row],[нарастающие плановые остатки]]-Все_в_одной_таблице[[#This Row],[нарастающие факт оплаты]]),0)</f>
        <v>1300000</v>
      </c>
      <c r="L23" s="31">
        <f ca="1">Все_в_одной_таблице[[#This Row],[дней]]*Все_в_одной_таблице[[#This Row],[недоплата]]*Все_в_одной_таблице[[#This Row],[ставка ЦБ]]/Все_в_одной_таблице[[#This Row],[Дней в году]]</f>
        <v>2564.3835616438355</v>
      </c>
    </row>
    <row r="24" spans="1:12" x14ac:dyDescent="0.35">
      <c r="A24" s="29">
        <v>22</v>
      </c>
      <c r="B24" s="40">
        <v>42979</v>
      </c>
      <c r="C24" s="29">
        <v>365</v>
      </c>
      <c r="D24" s="31">
        <v>500000</v>
      </c>
      <c r="E24" s="31">
        <v>1000000</v>
      </c>
      <c r="F24" s="32">
        <v>0.09</v>
      </c>
      <c r="G24" s="33">
        <f>IF(Все_в_одной_таблице[[#This Row],[Индекс]]=0,VLOOKUP(Все_в_одной_таблице[[#This Row],[Индекс]],Все_в_одной_таблице[],2),VLOOKUP(Все_в_одной_таблице[[#This Row],[Индекс]]-1,Все_в_одной_таблице[],2))</f>
        <v>42913</v>
      </c>
      <c r="H24" s="29">
        <f>Все_в_одной_таблице[[#This Row],[Дата]]-Все_в_одной_таблице[[#This Row],[ПредыдущаяДата]]</f>
        <v>66</v>
      </c>
      <c r="I24" s="41">
        <f ca="1">SUM(OFFSET(Все_в_одной_таблице[[#Headers],[План]],1,0,Все_в_одной_таблице[[#This Row],[Индекс]]+1,1))</f>
        <v>3900000</v>
      </c>
      <c r="J24" s="41">
        <f ca="1">SUM(OFFSET(Все_в_одной_таблице[[#Headers],[Факт]],1,0,Все_в_одной_таблице[[#This Row],[Индекс]]+1,1))</f>
        <v>3100000</v>
      </c>
      <c r="K24" s="31">
        <f ca="1">IF((Все_в_одной_таблице[[#This Row],[нарастающие плановые остатки]]-Все_в_одной_таблице[[#This Row],[нарастающие факт оплаты]])&gt;0,(Все_в_одной_таблице[[#This Row],[нарастающие плановые остатки]]-Все_в_одной_таблице[[#This Row],[нарастающие факт оплаты]]),0)</f>
        <v>800000</v>
      </c>
      <c r="L24" s="31">
        <f ca="1">Все_в_одной_таблице[[#This Row],[дней]]*Все_в_одной_таблице[[#This Row],[недоплата]]*Все_в_одной_таблице[[#This Row],[ставка ЦБ]]/Все_в_одной_таблице[[#This Row],[Дней в году]]</f>
        <v>13019.17808219178</v>
      </c>
    </row>
    <row r="25" spans="1:12" x14ac:dyDescent="0.35">
      <c r="A25" s="29">
        <v>23</v>
      </c>
      <c r="B25" s="40">
        <v>42983</v>
      </c>
      <c r="C25" s="29">
        <v>365</v>
      </c>
      <c r="D25" s="31">
        <v>0</v>
      </c>
      <c r="E25" s="31">
        <v>50000</v>
      </c>
      <c r="F25" s="32">
        <v>0.09</v>
      </c>
      <c r="G25" s="33">
        <f>IF(Все_в_одной_таблице[[#This Row],[Индекс]]=0,VLOOKUP(Все_в_одной_таблице[[#This Row],[Индекс]],Все_в_одной_таблице[],2),VLOOKUP(Все_в_одной_таблице[[#This Row],[Индекс]]-1,Все_в_одной_таблице[],2))</f>
        <v>42979</v>
      </c>
      <c r="H25" s="29">
        <f>Все_в_одной_таблице[[#This Row],[Дата]]-Все_в_одной_таблице[[#This Row],[ПредыдущаяДата]]</f>
        <v>4</v>
      </c>
      <c r="I25" s="41">
        <f ca="1">SUM(OFFSET(Все_в_одной_таблице[[#Headers],[План]],1,0,Все_в_одной_таблице[[#This Row],[Индекс]]+1,1))</f>
        <v>3900000</v>
      </c>
      <c r="J25" s="41">
        <f ca="1">SUM(OFFSET(Все_в_одной_таблице[[#Headers],[Факт]],1,0,Все_в_одной_таблице[[#This Row],[Индекс]]+1,1))</f>
        <v>3150000</v>
      </c>
      <c r="K25" s="31">
        <f ca="1">IF((Все_в_одной_таблице[[#This Row],[нарастающие плановые остатки]]-Все_в_одной_таблице[[#This Row],[нарастающие факт оплаты]])&gt;0,(Все_в_одной_таблице[[#This Row],[нарастающие плановые остатки]]-Все_в_одной_таблице[[#This Row],[нарастающие факт оплаты]]),0)</f>
        <v>750000</v>
      </c>
      <c r="L25" s="31">
        <f ca="1">Все_в_одной_таблице[[#This Row],[дней]]*Все_в_одной_таблице[[#This Row],[недоплата]]*Все_в_одной_таблице[[#This Row],[ставка ЦБ]]/Все_в_одной_таблице[[#This Row],[Дней в году]]</f>
        <v>739.72602739726028</v>
      </c>
    </row>
    <row r="26" spans="1:12" x14ac:dyDescent="0.35">
      <c r="A26" s="29">
        <v>24</v>
      </c>
      <c r="B26" s="40">
        <v>42996</v>
      </c>
      <c r="C26" s="29">
        <v>365</v>
      </c>
      <c r="D26" s="31">
        <v>0</v>
      </c>
      <c r="E26" s="31">
        <v>0</v>
      </c>
      <c r="F26" s="32">
        <v>8.5000000000000006E-2</v>
      </c>
      <c r="G26" s="33">
        <f>IF(Все_в_одной_таблице[[#This Row],[Индекс]]=0,VLOOKUP(Все_в_одной_таблице[[#This Row],[Индекс]],Все_в_одной_таблице[],2),VLOOKUP(Все_в_одной_таблице[[#This Row],[Индекс]]-1,Все_в_одной_таблице[],2))</f>
        <v>42983</v>
      </c>
      <c r="H26" s="29">
        <f>Все_в_одной_таблице[[#This Row],[Дата]]-Все_в_одной_таблице[[#This Row],[ПредыдущаяДата]]</f>
        <v>13</v>
      </c>
      <c r="I26" s="41">
        <f ca="1">SUM(OFFSET(Все_в_одной_таблице[[#Headers],[План]],1,0,Все_в_одной_таблице[[#This Row],[Индекс]]+1,1))</f>
        <v>3900000</v>
      </c>
      <c r="J26" s="41">
        <f ca="1">SUM(OFFSET(Все_в_одной_таблице[[#Headers],[Факт]],1,0,Все_в_одной_таблице[[#This Row],[Индекс]]+1,1))</f>
        <v>3150000</v>
      </c>
      <c r="K26" s="31">
        <f ca="1">IF((Все_в_одной_таблице[[#This Row],[нарастающие плановые остатки]]-Все_в_одной_таблице[[#This Row],[нарастающие факт оплаты]])&gt;0,(Все_в_одной_таблице[[#This Row],[нарастающие плановые остатки]]-Все_в_одной_таблице[[#This Row],[нарастающие факт оплаты]]),0)</f>
        <v>750000</v>
      </c>
      <c r="L26" s="31">
        <f ca="1">Все_в_одной_таблице[[#This Row],[дней]]*Все_в_одной_таблице[[#This Row],[недоплата]]*Все_в_одной_таблице[[#This Row],[ставка ЦБ]]/Все_в_одной_таблице[[#This Row],[Дней в году]]</f>
        <v>2270.5479452054797</v>
      </c>
    </row>
    <row r="27" spans="1:12" x14ac:dyDescent="0.35">
      <c r="A27" s="29">
        <v>25</v>
      </c>
      <c r="B27" s="40">
        <v>43002</v>
      </c>
      <c r="C27" s="29">
        <v>365</v>
      </c>
      <c r="D27" s="31">
        <v>0</v>
      </c>
      <c r="E27" s="31">
        <v>0</v>
      </c>
      <c r="F27" s="32">
        <v>8.5000000000000006E-2</v>
      </c>
      <c r="G27" s="33">
        <f>IF(Все_в_одной_таблице[[#This Row],[Индекс]]=0,VLOOKUP(Все_в_одной_таблице[[#This Row],[Индекс]],Все_в_одной_таблице[],2),VLOOKUP(Все_в_одной_таблице[[#This Row],[Индекс]]-1,Все_в_одной_таблице[],2))</f>
        <v>42996</v>
      </c>
      <c r="H27" s="29">
        <f>Все_в_одной_таблице[[#This Row],[Дата]]-Все_в_одной_таблице[[#This Row],[ПредыдущаяДата]]</f>
        <v>6</v>
      </c>
      <c r="I27" s="41">
        <f ca="1">SUM(OFFSET(Все_в_одной_таблице[[#Headers],[План]],1,0,Все_в_одной_таблице[[#This Row],[Индекс]]+1,1))</f>
        <v>3900000</v>
      </c>
      <c r="J27" s="41">
        <f ca="1">SUM(OFFSET(Все_в_одной_таблице[[#Headers],[Факт]],1,0,Все_в_одной_таблице[[#This Row],[Индекс]]+1,1))</f>
        <v>3150000</v>
      </c>
      <c r="K27" s="31">
        <f ca="1">IF((Все_в_одной_таблице[[#This Row],[нарастающие плановые остатки]]-Все_в_одной_таблице[[#This Row],[нарастающие факт оплаты]])&gt;0,(Все_в_одной_таблице[[#This Row],[нарастающие плановые остатки]]-Все_в_одной_таблице[[#This Row],[нарастающие факт оплаты]]),0)</f>
        <v>750000</v>
      </c>
      <c r="L27" s="31">
        <f ca="1">Все_в_одной_таблице[[#This Row],[дней]]*Все_в_одной_таблице[[#This Row],[недоплата]]*Все_в_одной_таблице[[#This Row],[ставка ЦБ]]/Все_в_одной_таблице[[#This Row],[Дней в году]]</f>
        <v>1047.9452054794519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d e b f 7 6 a - c 8 f 2 - 4 1 3 c - 9 7 c c - 8 e e 2 5 4 7 3 9 e 8 e "   x m l n s = " h t t p : / / s c h e m a s . m i c r o s o f t . c o m / D a t a M a s h u p " > A A A A A B 0 I A A B Q S w M E F A A C A A g A 0 p k 4 S 5 + h r + q m A A A A + A A A A B I A H A B D b 2 5 m a W c v U G F j a 2 F n Z S 5 4 b W w g o h g A K K A U A A A A A A A A A A A A A A A A A A A A A A A A A A A A h Y + x D o I w F E V / h X S n r w U G J I 8 y u E p i N B p X g h U a o R j a C v / m 4 C f 5 C 5 I o 6 u Z 4 T 8 5 w 7 u N 2 x 2 x s G + 8 q e 6 M 6 n R J O G f G k L r u j 0 l V K n D 3 5 M c k E r o v y X F T S m 2 R t k t E c U 1 J b e 0 k A h m G g Q 0 i 7 v o K A M Q 6 H f L U t a 9 k W 5 C O r / 7 K v t L G F L i U R u H / F i I B G C x r F I a d h z B F m j L n S X y W Y i i l D + I G 4 d I 1 1 v R S 9 8 z c 7 h H k i v F + I J 1 B L A w Q U A A I A C A D S m T h L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p k 4 S 0 r 0 V C w V B Q A A 8 B 0 A A B M A H A B G b 3 J t d W x h c y 9 T Z W N 0 a W 9 u M S 5 t I K I Y A C i g F A A A A A A A A A A A A A A A A A A A A A A A A A A A A N 1 Z X W s b R x R 9 N / g / D F s C E i z G 6 5 S + p C k E p 4 V A a U N s 2 g d j z F q a J i K r 3 b B a J Q 7 C I N n B I V W o a Q n E T 3 V N Q 5 8 l 1 a r l L + k v z P y j 3 p m V v D u r / Z j 9 a B s a U G x r Z + 7 c c 8 + Z M 3 O l B q 4 4 N c t E a + 5 P 7 c 7 i w u J C 4 4 l u 4 y o i H 0 i P X N A 9 M q K v y Z B 2 y A U Z k S H 5 l U z I J e n R P d p F d 5 G B n c U F B P / I E e 3 A 2 D G M v Y Z x F / D s y 5 0 K N p Z W m 7 a N T e d 7 y 3 6 6 b V l P S + X W x j d 6 H d 9 V k u M r m 7 s b q 5 b p w P R N 1 V 3 m E 4 W c w K M 2 G b P h i H Y Q m c B f I 3 I F U 6 / 5 6 5 p 2 y R W i r + D N S / p 2 O v h K g Y T W 9 W 0 D L 6 1 h A 9 A + s l 4 0 S s G k V Y T 1 y h N U 2 i D v W A a k t 4 k + / w K Z T c N A u l l F 4 t s K z I a 5 5 E + l X P a y O y J n g V z O E c N I J p q X w r q t m 4 0 f L L u + a h n N u r n + 8 h l u l L J D U 1 s t Z Z a a o i I H w q G q 7 u B d F c G D 9 z C x x 0 r M M Q 5 n A 8 x m f R v b f A g v A q v 4 P u 3 M H j t 4 x 9 n d L S 8 u 1 E w p b I J y b j g E h o 8 h x X e s T P A a Q K n b d D + n b h K i F 6 k a 7 X 8 s G + 3 j 0 8 0 J 5 3 Q A Q H r k N / A E l j E k A V M 6 4 B J t z n G P p U M P y R / k Z x j z I a e W M q w Y r q 9 o j A n 8 z Y k p g h S n V i + C m I I k F w M 3 U l U Z V Q F D f w E 2 h o g M E P B x C o P H 7 t A e 6 Y M R j O g B F C F B B y 6 a V a u + X T N x q Z V 8 9 q i J L q Z m 0 i u b B b t w n / w F 6 / U 5 7 K F b L d q V Y + d 2 N k G x Q O e 8 h g z D K f i k q B v / 4 i c c 4 Z 6 A g W e K W O i Z 1 / i 8 0 b K d e F X c D s r i W 7 u K 7 a V 7 j Q o 2 q z X z c Z h s g 0 P 8 G b 6 H n C a Q x u V 0 r R H X B / / l z C f f r 2 q G c d 9 6 Y Z b k Q a k R 1 f K v f g x c t + G 1 z 3 K A o I e g y v F 0 R 3 o h e X p 9 e k C 7 K 1 5 G j 7 D F Y L m E 8 a 0 U D 0 U V q h Z F Z L B 0 8 y Y h 0 j u A 9 0 / 9 J N 2 k C 6 g O v G w f 1 p 5 b n N n 0 i F X 0 d a 3 h L N 2 H / 2 p m J W O Q D T + u z b I M 0 O m 6 a 8 2 6 1 G 6 S O F 2 T q h V j e G m 3 l J Z m T y V t q T y K j R O s L J S g d I + Z m 5 J r / v v U f z 3 p u i 6 K m E 0 q w Y 3 u g w + x Y X e c B T j 3 J f v M 0 C v 4 O 9 1 o 4 i y K U 1 R 2 a 1 O X 1 W k g W 4 j I A M 1 A F H a S S g H k T H v 1 i / J t m V h a d L X i c C Q W Z s a o r E u H m 7 Q c A r U V o p o o d 5 R j a k W O q U g 0 n C F P 1 e E 3 M j H d h 9 i G r e r o j 2 F J G C 4 w y e 4 a f T 7 h k q 2 F + M W C e d A F 2 N 5 N p v e q 1 Q d m F e + 4 i c Z T u M I L d O Q L o 6 J l F W k 5 T E K L c 4 l Y B E w w Y i p S p 1 w a C x H u m u m R i X 1 J 1 I 0 t b / c R F T e 8 x 5 g r K V c j f Q u c c x + G 1 Y e 8 w 3 P v s + f s u t y n P / I a 7 2 m C b K a K m e 9 k w w 5 U 3 t 0 u F 3 S c 5 g S R p T 1 6 Y D q f f e r u s Y + 5 O / I W / x 3 k 2 X P r k 3 g 6 1 6 3 n 2 L f t Y j 0 8 g D 3 W c N L Q E i Y t G R j z 9 z k u N W + f F 2 X d + d B x z n J 0 3 V y W M h 2 Y Z H + 8 I r o T 7 4 6 3 y G D L 6 4 6 3 x O 5 4 y 2 o 6 O a 0 q e Z F / 4 3 M R 8 c z g x d P N l 7 M C x 5 i C d 3 A E z M B 3 j I T a h H h k B y k n x + x Y A S 6 7 j E / 6 B l I 4 9 C U S X O v U 1 U D I E 6 a t N r x c C f 0 E k f j t Y u K m z U T K 9 w + U Y y o y t 1 e V j E N f u S C Z r L 1 P 1 8 N m s 0 Z n 7 H 3 u M T / m 1 i 2 + e Z C v O s O w 6 v y n X h q g f I 6 1 4 u 5 p / 5 x T x 0 q r s D t t s k W 3 I n Q x V 9 R 0 0 p O c n r w D g o G y C L T A r 5 Q S 7 + B R X x W U U 6 h K i 5 F V 5 u + Q o m / d W a l J p 4 n i u v 7 k 8 k E j y / v Z V G 1 + z u 5 a r t F P S s x r s 4 X L g l x u d / 4 G U E s B A i 0 A F A A C A A g A 0 p k 4 S 5 + h r + q m A A A A + A A A A B I A A A A A A A A A A A A A A A A A A A A A A E N v b m Z p Z y 9 Q Y W N r Y W d l L n h t b F B L A Q I t A B Q A A g A I A N K Z O E s P y u m r p A A A A O k A A A A T A A A A A A A A A A A A A A A A A P I A A A B b Q 2 9 u d G V u d F 9 U e X B l c 1 0 u e G 1 s U E s B A i 0 A F A A C A A g A 0 p k 4 S 0 r 0 V C w V B Q A A 8 B 0 A A B M A A A A A A A A A A A A A A A A A 4 w E A A E Z v c m 1 1 b G F z L 1 N l Y 3 R p b 2 4 x L m 1 Q S w U G A A A A A A M A A w D C A A A A R Q c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V o A A A A A A A B H W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Q w J U E 0 J U Q w J U I w J U Q w J U J B J U Q x J T g y J U Q w J U I 4 J U Q x J T g 3 J U Q w J U I 1 J U Q x J T g x J U Q w J U J B J U Q w J U I 4 J U Q w J U I 1 J U Q w J T l F J U Q w J U J G J U Q w J U J C J U Q w J U I w J U Q x J T g y J U Q x J T h C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3 L T A 5 L T E w V D E x O j M x O j U y L j E w M D I 3 M D F a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y V E M C V B N C V E M C V C M C V E M C V C Q S V E M S U 4 M i V E M C V C O C V E M S U 4 N y V E M C V C N S V E M S U 4 M S V E M C V C Q S V E M C V C O C V E M C V C N S V E M C U 5 R S V E M C V C R i V E M C V C Q i V E M C V C M C V E M S U 4 M i V E M S U 4 Q i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U l R D A l Q k Y l R D A l Q k I l R D A l Q j A l R D E l O D I l R D A l Q j A l R D A l O U Y l R D A l Q k U l R D A l O T Q l R D A l Q k U l R D A l Q j M l R D A l Q k U l R D A l Q j I l R D A l Q k U l R D E l O D A l R D E l O D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c t M D k t M T B U M T E 6 M z E 6 N T I u M T M x N T I 0 N 1 o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Q w J T l F J U Q w J U J G J U Q w J U J C J U Q w J U I w J U Q x J T g y J U Q w J U I w J U Q w J T l G J U Q w J U J F J U Q w J T k 0 J U Q w J U J F J U Q w J U I z J U Q w J U J F J U Q w J U I y J U Q w J U J F J U Q x J T g w J U Q x J T g z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S V E M S U 4 M i V E M C V C M C V E M C V C M i V E M C V C Q S V E M C V C M C V E M C V B M C V E M C V C N S V E M S U 4 N C V E M C V C O C V E M C V C R C V E M C V C M C V E M C V C R C V E M S U 4 M S V E M C V C O C V E M S U 4 M C V E M C V C R S V E M C V C M i V E M C V C M C V E M C V C R C V E M C V C O C V E M S U 4 R i V E M C V B N i V E M C U 5 M S V E M C V B M C V E M C V B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N y 0 w O S 0 x M F Q x M T o z M T o 1 M i 4 x N T M y M D Y 4 W i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D A l Q T E l R D E l O D I l R D A l Q j A l R D A l Q j I l R D A l Q k E l R D A l Q j A l R D A l Q T A l R D A l Q j U l R D E l O D Q l R D A l Q j g l R D A l Q k Q l R D A l Q j A l R D A l Q k Q l R D E l O D E l R D A l Q j g l R D E l O D A l R D A l Q k U l R D A l Q j I l R D A l Q j A l R D A l Q k Q l R D A l Q j g l R D E l O E Y l R D A l Q T Y l R D A l O T E l R D A l Q T A l R D A l Q T Q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x J U Q x J T g y J U Q w J U I w J U Q w J U I y J U Q w J U J B J U Q w J U I w J U Q w J U E w J U Q w J U I 1 J U Q x J T g 0 J U Q w J U I 4 J U Q w J U J E J U Q w J U I w J U Q w J U J E J U Q x J T g x J U Q w J U I 4 J U Q x J T g w J U Q w J U J F J U Q w J U I y J U Q w J U I w J U Q w J U J E J U Q w J U I 4 J U Q x J T h G J U Q w J U E 2 J U Q w J T k x J U Q w J U E w J U Q w J U E 0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M S V E M C V C N S U y M C V E M C V C M i U y M C V E M C V C R S V E M C V C N C V E M C V C R C V E M C V C R S V E M C V C O S U y M C V E M S U 4 M i V E M C V C M C V E M C V C M S V E M C V C Q i V E M C V C O C V E M S U 4 N i V E M C V C N T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Q 2 9 s d W 1 u V H l w Z X M i I F Z h b H V l P S J z Q l F r R k J R V U U i I C 8 + P E V u d H J 5 I F R 5 c G U 9 I k Z p b G x D b 2 x 1 b W 5 O Y W 1 l c y I g V m F s d W U 9 I n N b J n F 1 b 3 Q 7 0 J j Q v d C 0 0 L X Q u t G B J n F 1 b 3 Q 7 L C Z x d W 9 0 O 9 C U 0 L D R g t C w J n F 1 b 3 Q 7 L C Z x d W 9 0 O 9 C U 0 L 3 Q t d C 5 I N C y I N C z 0 L 7 Q t N G D J n F 1 b 3 Q 7 L C Z x d W 9 0 O 9 C f 0 L v Q s N C 9 J n F 1 b 3 Q 7 L C Z x d W 9 0 O 9 C k 0 L D Q u t G C J n F 1 b 3 Q 7 L C Z x d W 9 0 O 9 G B 0 Y L Q s N C y 0 L r Q s C D Q p t C R J n F 1 b 3 Q 7 X S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E i I C 8 + P E V u d H J 5 I F R 5 c G U 9 I k F k Z G V k V G 9 E Y X R h T W 9 k Z W w i I F Z h b H V l P S J s M S I g L z 4 8 R W 5 0 c n k g V H l w Z T 0 i U m V j b 3 Z l c n l U Y X J n Z X R T a G V l d C I g V m F s d W U 9 I n P Q o N C w 0 Y H R h 9 C 1 0 Y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N m V i Y z V h Y j M t Y m Q 0 Y i 0 0 Y 2 R k L W I 2 M G Q t O D E 3 Y m Q z N D E 5 Z G I 0 I i A v P j x F b n R y e S B U e X B l P S J G a W x s T G F z d F V w Z G F 0 Z W Q i I F Z h b H V l P S J k M j A x N y 0 w O S 0 y N F Q x N j o x M z o 1 M y 4 0 N T E 5 M z U y W i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J L R g d C 1 I N C y I N C + 0 L T Q v d C + 0 L k g 0 Y L Q s N C x 0 L v Q u N G G 0 L U v 0 J T Q v t C x 0 L D Q s t C 7 0 L X Q v S D Q u N C 9 0 L T Q t d C 6 0 Y E u e 9 C Y 0 L 3 Q t N C 1 0 L r R g S w 1 f S Z x d W 9 0 O y w m c X V v d D t T Z W N 0 a W 9 u M S / Q k t G B 0 L U g 0 L I g 0 L 7 Q t N C 9 0 L 7 Q u S D R g t C w 0 L H Q u 9 C 4 0 Y b Q t S / Q l N C + 0 L H Q s N C y 0 L v Q t d C 9 I N C 4 0 L 3 Q t N C 1 0 L r R g S 5 7 0 J T Q s N G C 0 L A s M H 0 m c X V v d D s s J n F 1 b 3 Q 7 U 2 V j d G l v b j E v 0 J L R g d C 1 I N C y I N C + 0 L T Q v d C + 0 L k g 0 Y L Q s N C x 0 L v Q u N G G 0 L U v 0 J T Q v t C x 0 L D Q s t C 7 0 L X Q v S D Q u N C 9 0 L T Q t d C 6 0 Y E u e 9 C U 0 L 3 Q t d C 5 I N C y I N C z 0 L 7 Q t N G D L D F 9 J n F 1 b 3 Q 7 L C Z x d W 9 0 O 1 N l Y 3 R p b 2 4 x L 9 C S 0 Y H Q t S D Q s i D Q v t C 0 0 L 3 Q v t C 5 I N G C 0 L D Q s d C 7 0 L j R h t C 1 L 9 C U 0 L 7 Q s d C w 0 L L Q u 9 C 1 0 L 0 g 0 L j Q v d C 0 0 L X Q u t G B L n v Q n 9 C 7 0 L D Q v S w y f S Z x d W 9 0 O y w m c X V v d D t T Z W N 0 a W 9 u M S / Q k t G B 0 L U g 0 L I g 0 L 7 Q t N C 9 0 L 7 Q u S D R g t C w 0 L H Q u 9 C 4 0 Y b Q t S / Q l N C + 0 L H Q s N C y 0 L v Q t d C 9 I N C 4 0 L 3 Q t N C 1 0 L r R g S 5 7 0 K T Q s N C 6 0 Y I s M 3 0 m c X V v d D s s J n F 1 b 3 Q 7 U 2 V j d G l v b j E v 0 J L R g d C 1 I N C y I N C + 0 L T Q v d C + 0 L k g 0 Y L Q s N C x 0 L v Q u N G G 0 L U v 0 J T Q v t C x 0 L D Q s t C 7 0 L X Q v S D Q u N C 9 0 L T Q t d C 6 0 Y E u e 9 G B 0 Y L Q s N C y 0 L r Q s C D Q p t C R L D R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9 C S 0 Y H Q t S D Q s i D Q v t C 0 0 L 3 Q v t C 5 I N G C 0 L D Q s d C 7 0 L j R h t C 1 L 9 C U 0 L 7 Q s d C w 0 L L Q u 9 C 1 0 L 0 g 0 L j Q v d C 0 0 L X Q u t G B L n v Q m N C 9 0 L T Q t d C 6 0 Y E s N X 0 m c X V v d D s s J n F 1 b 3 Q 7 U 2 V j d G l v b j E v 0 J L R g d C 1 I N C y I N C + 0 L T Q v d C + 0 L k g 0 Y L Q s N C x 0 L v Q u N G G 0 L U v 0 J T Q v t C x 0 L D Q s t C 7 0 L X Q v S D Q u N C 9 0 L T Q t d C 6 0 Y E u e 9 C U 0 L D R g t C w L D B 9 J n F 1 b 3 Q 7 L C Z x d W 9 0 O 1 N l Y 3 R p b 2 4 x L 9 C S 0 Y H Q t S D Q s i D Q v t C 0 0 L 3 Q v t C 5 I N G C 0 L D Q s d C 7 0 L j R h t C 1 L 9 C U 0 L 7 Q s d C w 0 L L Q u 9 C 1 0 L 0 g 0 L j Q v d C 0 0 L X Q u t G B L n v Q l N C 9 0 L X Q u S D Q s i D Q s 9 C + 0 L T R g y w x f S Z x d W 9 0 O y w m c X V v d D t T Z W N 0 a W 9 u M S / Q k t G B 0 L U g 0 L I g 0 L 7 Q t N C 9 0 L 7 Q u S D R g t C w 0 L H Q u 9 C 4 0 Y b Q t S / Q l N C + 0 L H Q s N C y 0 L v Q t d C 9 I N C 4 0 L 3 Q t N C 1 0 L r R g S 5 7 0 J / Q u 9 C w 0 L 0 s M n 0 m c X V v d D s s J n F 1 b 3 Q 7 U 2 V j d G l v b j E v 0 J L R g d C 1 I N C y I N C + 0 L T Q v d C + 0 L k g 0 Y L Q s N C x 0 L v Q u N G G 0 L U v 0 J T Q v t C x 0 L D Q s t C 7 0 L X Q v S D Q u N C 9 0 L T Q t d C 6 0 Y E u e 9 C k 0 L D Q u t G C L D N 9 J n F 1 b 3 Q 7 L C Z x d W 9 0 O 1 N l Y 3 R p b 2 4 x L 9 C S 0 Y H Q t S D Q s i D Q v t C 0 0 L 3 Q v t C 5 I N G C 0 L D Q s d C 7 0 L j R h t C 1 L 9 C U 0 L 7 Q s d C w 0 L L Q u 9 C 1 0 L 0 g 0 L j Q v d C 0 0 L X Q u t G B L n v R g d G C 0 L D Q s t C 6 0 L A g 0 K b Q k S w 0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U Y X J n Z X Q i I F Z h b H V l P S J z 0 J L R g d C 1 X 9 C y X 9 C + 0 L T Q v d C + 0 L l f 0 Y L Q s N C x 0 L v Q u N G G 0 L U i I C 8 + P E V u d H J 5 I F R 5 c G U 9 I k Z p b G x F c n J v c k N v d W 5 0 I i B W Y W x 1 Z T 0 i b D A i I C 8 + P E V u d H J 5 I F R 5 c G U 9 I k Z p b G x D b 3 V u d C I g V m F s d W U 9 I m w y N i I g L z 4 8 L 1 N 0 Y W J s Z U V u d H J p Z X M + P C 9 J d G V t P j x J d G V t P j x J d G V t T G 9 j Y X R p b 2 4 + P E l 0 Z W 1 U e X B l P k Z v c m 1 1 b G E 8 L 0 l 0 Z W 1 U e X B l P j x J d G V t U G F 0 a D 5 T Z W N 0 a W 9 u M S 8 l R D A l O T I l R D E l O D E l R D A l Q j U l M j A l R D A l Q j I l M j A l R D A l Q k U l R D A l Q j Q l R D A l Q k Q l R D A l Q k U l R D A l Q j k l M j A l R D E l O D I l R D A l Q j A l R D A l Q j E l R D A l Q k I l R D A l Q j g l R D E l O D Y l R D A l Q j U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y J U Q x J T g x J U Q w J U I 1 J T I w J U Q w J U I y J T I w J U Q w J U J F J U Q w J U I 0 J U Q w J U J E J U Q w J U J F J U Q w J U I 5 J T I w J U Q x J T g y J U Q w J U I w J U Q w J U I x J U Q w J U J C J U Q w J U I 4 J U Q x J T g 2 J U Q w J U I 1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M S V E M C V C N S U y M C V E M C V C M i U y M C V E M C V C R S V E M C V C N C V E M C V C R C V E M C V C R S V E M C V C O S U y M C V E M S U 4 M i V E M C V C M C V E M C V C M S V E M C V C Q i V E M C V C O C V E M S U 4 N i V E M C V C N S 8 l R D A l Q T E l R D A l Q j I l R D A l Q j U l R D A l Q j Q l R D A l Q j U l R D A l Q k Q l R D A l Q k Q l R D E l O E I l R D A l Q j k l M j A l R D E l O D E l R D E l O D I l R D A l Q k U l R D A l Q k I l R D A l Q j E l R D A l Q j U l R D E l O D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I l R D E l O D E l R D A l Q j U l M j A l R D A l Q j I l M j A l R D A l Q k U l R D A l Q j Q l R D A l Q k Q l R D A l Q k U l R D A l Q j k l M j A l R D E l O D I l R D A l Q j A l R D A l Q j E l R D A l Q k I l R D A l Q j g l R D E l O D Y l R D A l Q j U v J U Q w J U E x J U Q w J U J F J U Q x J T g w J U Q x J T g y J U Q w J U I 4 J U Q x J T g w J U Q w J U J F J U Q w J U I y J U Q w J U I w J U Q w J U J E J U Q w J U J E J U Q x J T h C J U Q w J U I 1 J T I w J U Q x J T g x J U Q x J T g y J U Q x J T g w J U Q w J U J F J U Q w J U J B J U Q w J U I 4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M S V E M C V C N S U y M C V E M C V C M i U y M C V E M C V C R S V E M C V C N C V E M C V C R C V E M C V C R S V E M C V C O S U y M C V E M S U 4 M i V E M C V C M C V E M C V C M S V E M C V C Q i V E M C V C O C V E M S U 4 N i V E M C V C N S 8 l R D A l O U Y l R D A l Q j U l R D E l O D A l R D A l Q j U l R D E l O D M l R D A l Q k Y l R D A l Q k U l R D E l O D A l R D E l O E Y l R D A l Q j Q l R D A l Q k U l R D E l O D c l R D A l Q j U l R D A l Q k Q l R D A l Q k Q l R D E l O E I l R D A l Q j U l M j A l R D E l O D E l R D E l O D I l R D A l Q k U l R D A l Q k I l R D A l Q j E l R D E l O D Y l R D E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I l R D E l O D E l R D A l Q j U l M j A l R D A l Q j I l M j A l R D A l Q k U l R D A l Q j Q l R D A l Q k Q l R D A l Q k U l R D A l Q j k l M j A l R D E l O D I l R D A l Q j A l R D A l Q j E l R D A l Q k I l R D A l Q j g l R D E l O D Y l R D A l Q j U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y J U Q x J T g x J U Q w J U I 1 J T I w J U Q w J U I y J T I w J U Q w J U J F J U Q w J U I 0 J U Q w J U J E J U Q w J U J F J U Q w J U I 5 J T I w J U Q x J T g y J U Q w J U I w J U Q w J U I x J U Q w J U J C J U Q w J U I 4 J U Q x J T g 2 J U Q w J U I 1 L y V E M C U 5 O C V E M C V C N y V E M C V C Q y V E M C V C N S V E M C V C R C V E M C V C N S V E M C V C R C V E M C V C R C V E M S U 4 Q i V E M C V C O S U y M C V E M S U 4 M i V E M C V C O C V E M C V C R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I l R D E l O D E l R D A l Q j U l M j A l R D A l Q j I l M j A l R D A l Q k U l R D A l Q j Q l R D A l Q k Q l R D A l Q k U l R D A l Q j k l M j A l R D E l O D I l R D A l Q j A l R D A l Q j E l R D A l Q k I l R D A l Q j g l R D E l O D Y l R D A l Q j U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M S V E M C V C N S U y M C V E M C V C M i U y M C V E M C V C R S V E M C V C N C V E M C V C R C V E M C V C R S V E M C V C O S U y M C V E M S U 4 M i V E M C V C M C V E M C V C M S V E M C V C Q i V E M C V C O C V E M S U 4 N i V E M C V C N S 8 l R D A l O T g l R D A l Q j c l R D A l Q k M l R D A l Q j U l R D A l Q k Q l R D A l Q j U l R D A l Q k Q l R D A l Q k Q l R D E l O E I l R D A l Q j k l M j A l R D E l O D I l R D A l Q j g l R D A l Q k Y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y J U Q x J T g x J U Q w J U I 1 J T I w J U Q w J U I y J T I w J U Q w J U J F J U Q w J U I 0 J U Q w J U J E J U Q w J U J F J U Q w J U I 5 J T I w J U Q x J T g y J U Q w J U I w J U Q w J U I x J U Q w J U J C J U Q w J U I 4 J U Q x J T g 2 J U Q w J U I 1 L y V E M C U 5 N y V E M C V C M C V E M C V C R i V E M C V C R S V E M C V C Q i V E M C V C R C V E M C V C N S V E M C V C R C V E M C V C O C V E M C V C N S U y M C V E M C V C M i V E M C V C R C V E M C V C O C V E M C V C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S V E M C V C Q i V E M S U 4 M y V E M C V C N i V E M C V C N S V E M C V C M S V E M C V C R C V E M S U 4 Q i V E M C V C N S V E M C U 5 N C V E M C V C M C V E M S U 4 M i V E M S U 4 Q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N y 0 w O S 0 y N F Q x M j o x O T o y O S 4 3 M T k w O T I 2 W i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D A l Q T E l R D A l Q k I l R D E l O D M l R D A l Q j Y l R D A l Q j U l R D A l Q j E l R D A l Q k Q l R D E l O E I l R D A l Q j U l R D A l O T Q l R D A l Q j A l R D E l O D I l R D E l O E I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x J U Q w J U J C J U Q x J T g z J U Q w J U I 2 J U Q w J U I 1 J U Q w J U I x J U Q w J U J E J U Q x J T h C J U Q w J U I 1 J U Q w J T k 0 J U Q w J U I w J U Q x J T g y J U Q x J T h C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R S V E M C V C R i V E M C V C Q i V E M C V C M C V E M S U 4 M i V E M C V C M C V E M C U 5 R i V E M C V C R S V E M C U 5 N C V E M C V C R S V E M C V C M y V E M C V C R S V E M C V C M i V E M C V C R S V E M S U 4 M C V E M S U 4 M y 8 l R D A l Q T E l R D E l O D I l R D E l O D A l R D A l Q k U l R D A l Q k E l R D A l Q j g l M j A l R D E l O D E l M j A l R D A l Q k Y l R D E l O D A l R D A l Q j g l R D A l Q k M l R D A l Q j U l R D A l Q k Q l R D A l Q j U l R D A l Q k Q l R D A l Q k Q l R D E l O E I l R D A l Q k M l M j A l R D E l O D Q l R D A l Q j g l R D A l Q k I l R D E l O E M l R D E l O D I l R D E l O D A l R D A l Q k U l R D A l Q k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F J U Q w J U J G J U Q w J U J C J U Q w J U I w J U Q x J T g y J U Q w J U I w J U Q w J T l G J U Q w J U J F J U Q w J T k 0 J U Q w J U J F J U Q w J U I z J U Q w J U J F J U Q w J U I y J U Q w J U J F J U Q x J T g w J U Q x J T g z L y V E M C U 5 O C V E M C V C N y V E M C V C Q y V E M C V C N S V E M C V C R C V E M C V C N S V E M C V C R C V E M C V C R C V E M S U 4 Q i V E M C V C O S U y M C V E M S U 4 M i V E M C V C O C V E M C V C R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Q l R D A l Q j A l R D A l Q k E l R D E l O D I l R D A l Q j g l R D E l O D c l R D A l Q j U l R D E l O D E l R D A l Q k E l R D A l Q j g l R D A l Q j U l R D A l O U U l R D A l Q k Y l R D A l Q k I l R D A l Q j A l R D E l O D I l R D E l O E I v J U Q w J U E x J U Q x J T g y J U Q x J T g w J U Q w J U J F J U Q w J U J B J U Q w J U I 4 J T I w J U Q x J T g x J T I w J U Q w J U J G J U Q x J T g w J U Q w J U I 4 J U Q w J U J D J U Q w J U I 1 J U Q w J U J E J U Q w J U I 1 J U Q w J U J E J U Q w J U J E J U Q x J T h C J U Q w J U J D J T I w J U Q x J T g 0 J U Q w J U I 4 J U Q w J U J C J U Q x J T h D J U Q x J T g y J U Q x J T g w J U Q w J U J F J U Q w J U J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0 J U Q w J U I w J U Q w J U J B J U Q x J T g y J U Q w J U I 4 J U Q x J T g 3 J U Q w J U I 1 J U Q x J T g x J U Q w J U J B J U Q w J U I 4 J U Q w J U I 1 J U Q w J T l F J U Q w J U J G J U Q w J U J C J U Q w J U I w J U Q x J T g y J U Q x J T h C L y V E M C U 5 O C V E M C V C N y V E M C V C Q y V E M C V C N S V E M C V C R C V E M C V C N S V E M C V C R C V E M C V C R C V E M S U 4 Q i V E M C V C O S U y M C V E M S U 4 M i V E M C V C O C V E M C V C R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E l R D E l O D I l R D A l Q j A l R D A l Q j I l R D A l Q k E l R D A l Q j A l R D A l Q T A l R D A l Q j U l R D E l O D Q l R D A l Q j g l R D A l Q k Q l R D A l Q j A l R D A l Q k Q l R D E l O D E l R D A l Q j g l R D E l O D A l R D A l Q k U l R D A l Q j I l R D A l Q j A l R D A l Q k Q l R D A l Q j g l R D E l O E Y l R D A l Q T Y l R D A l O T E l R D A l Q T A l R D A l Q T Q v J U Q w J T k 4 J U Q w J U I 3 J U Q w J U J D J U Q w J U I 1 J U Q w J U J E J U Q w J U I 1 J U Q w J U J E J U Q w J U J E J U Q x J T h C J U Q w J U I 5 J T I w J U Q x J T g y J U Q w J U I 4 J U Q w J U J G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S V E M C V C Q i V E M S U 4 M y V E M C V C N i V E M C V C N S V E M C V C M S V E M C V C R C V E M S U 4 Q i V E M C V C N S V E M C U 5 N C V E M C V C M C V E M S U 4 M i V E M S U 4 Q i 8 l R D A l O T g l R D A l Q j c l R D A l Q k M l R D A l Q j U l R D A l Q k Q l R D A l Q j U l R D A l Q k Q l R D A l Q k Q l R D E l O E I l R D A l Q j k l M j A l R D E l O D I l R D A l Q j g l R D A l Q k Y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x J U Q w J U J C J U Q x J T g z J U Q w J U I 2 J U Q w J U I 1 J U Q w J U I x J U Q w J U J E J U Q x J T h C J U Q w J U I 1 J U Q w J T k 0 J U Q w J U I w J U Q x J T g y J U Q x J T h C L y V E M C V B M y V E M C V C N C V E M C V C M C V E M C V C Q i V E M C V C N S V E M C V C R C V E M C V C R C V E M S U 4 Q i V E M C V C N S U y M C V E M S U 4 M S V E M S U 4 M i V E M C V C R S V E M C V C Q i V E M C V C M S V E M S U 4 N i V E M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S V E M C V C Q i V E M S U 4 M y V E M C V C N i V E M C V C N S V E M C V C M S V E M C V C R C V E M S U 4 Q i V E M C V C N S V E M C U 5 N C V E M C V C M C V E M S U 4 M i V E M S U 4 Q i 8 l R D A l O T Q l R D A l Q k U l R D A l Q j E l R D A l Q j A l R D A l Q j I l R D A l Q k I l R D A l Q j U l R D A l Q k Q l M j A l R D A l Q k Y l R D A l Q k U l R D A l Q k I l R D E l O E M l R D A l Q j c l R D A l Q k U l R D A l Q j I l R D A l Q j A l R D E l O D I l R D A l Q j U l R D A l Q k I l R D E l O E M l R D E l O D E l R D A l Q k E l R D A l Q j g l R D A l Q j k l M j A l R D A l Q k U l R D A l Q j E l R D E l O E E l R D A l Q j U l R D A l Q k E l R D E l O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E l R D A l Q k I l R D E l O D M l R D A l Q j Y l R D A l Q j U l R D A l Q j E l R D A l Q k Q l R D E l O E I l R D A l Q j U l R D A l O T Q l R D A l Q j A l R D E l O D I l R D E l O E I v J U Q w J T k 4 J U Q w J U I 3 J U Q w J U J D J U Q w J U I 1 J U Q w J U J E J U Q w J U I 1 J U Q w J U J E J U Q w J U J E J U Q x J T h C J U Q w J U I 5 J T I w J U Q x J T g y J U Q w J U I 4 J U Q w J U J G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M S V E M C V C N S U y M C V E M C V C M i U y M C V E M C V C R S V E M C V C N C V E M C V C R C V E M C V C R S V E M C V C O S U y M C V E M S U 4 M i V E M C V C M C V E M C V C M S V E M C V C Q i V E M C V C O C V E M S U 4 N i V E M C V C N S 8 l R D A l O T Q l R D A l Q k U l R D A l Q j E l R D A l Q j A l R D A l Q j I l R D A l Q k I l R D A l Q j U l R D A l Q k Q l M j A l R D A l Q j g l R D A l Q k Q l R D A l Q j Q l R D A l Q j U l R D A l Q k E l R D E l O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I l R D E l O D E l R D A l Q j U l M j A l R D A l Q j I l M j A l R D A l Q k U l R D A l Q j Q l R D A l Q k Q l R D A l Q k U l R D A l Q j k l M j A l R D E l O D I l R D A l Q j A l R D A l Q j E l R D A l Q k I l R D A l Q j g l R D E l O D Y l R D A l Q j U v J U Q w J T l G J U Q w J U I 1 J U Q x J T g w J U Q w J U I 1 J U Q x J T g z J U Q w J U J G J U Q w J U J F J U Q x J T g w J U Q x J T h G J U Q w J U I 0 J U Q w J U J F J U Q x J T g 3 J U Q w J U I 1 J U Q w J U J E J U Q w J U J E J U Q x J T h C J U Q w J U I 1 J T I w J U Q x J T g x J U Q x J T g y J U Q w J U J F J U Q w J U J C J U Q w J U I x J U Q x J T g 2 J U Q x J T h C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M S V E M C V C N V 8 l R D A l Q j J f J U Q w J U J F J U Q w J U I 0 J U Q w J U J E J U Q w J U J F J U Q w J U I 5 X y V E M S U 4 M i V E M C V C M C V E M C V C M S V E M C V C Q i V E M C V C O C V E M S U 4 N i V E M C V C N V 9 v d X Q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y c m 9 y Q 2 9 1 b n Q i I F Z h b H V l P S J s M C I g L z 4 8 R W 5 0 c n k g V H l w Z T 0 i R m l s b E N v b H V t b l R 5 c G V z I i B W Y W x 1 Z T 0 i c 0 F B a 0 Z C U V F E Q l F V P S I g L z 4 8 R W 5 0 c n k g V H l w Z T 0 i R m l s b E N v b H V t b k 5 h b W V z I i B W Y W x 1 Z T 0 i c 1 s m c X V v d D v Q m N C 9 0 L T Q t d C 6 0 Y E m c X V v d D s s J n F 1 b 3 Q 7 0 J T Q s N G C 0 L A m c X V v d D s s J n F 1 b 3 Q 7 0 J / Q u 9 C w 0 L 0 m c X V v d D s s J n F 1 b 3 Q 7 0 K T Q s N C 6 0 Y I m c X V v d D s s J n F 1 b 3 Q 7 0 Y H R g t C w 0 L L Q u t C w I N C m 0 J E m c X V v d D s s J n F 1 b 3 Q 7 0 L T Q v d C 1 0 L k m c X V v d D s s J n F 1 b 3 Q 7 0 L 3 Q t d C 0 0 L 7 Q v 9 C 7 0 L D R g t C w J n F 1 b 3 Q 7 L C Z x d W 9 0 O y U l I N C / 0 L 4 g 0 Y H R g t C w 0 L L Q u t C 1 I N C m 0 J E m c X V v d D t d I i A v P j x F b n R y e S B U e X B l P S J G a W x s T G F z d F V w Z G F 0 Z W Q i I F Z h b H V l P S J k M j A x N y 0 w O S 0 y N F Q x N j o x M z o 1 N C 4 0 O D E z O D c 1 W i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J L R g d C 1 X 9 C y X 9 C + 0 L T Q v d C + 0 L l f 0 Y L Q s N C x 0 L v Q u N G G 0 L V f b 3 V 0 L 9 C Y 0 L f Q v N C 1 0 L 3 Q t d C 9 0 L 3 R i 9 C 5 I N G C 0 L j Q v y 5 7 0 J j Q v d C 0 0 L X Q u t G B L D B 9 J n F 1 b 3 Q 7 L C Z x d W 9 0 O 1 N l Y 3 R p b 2 4 x L 9 C S 0 Y H Q t V / Q s l / Q v t C 0 0 L 3 Q v t C 5 X 9 G C 0 L D Q s d C 7 0 L j R h t C 1 X 2 9 1 d C / Q m N C 3 0 L z Q t d C 9 0 L X Q v d C 9 0 Y v Q u S D R g t C 4 0 L 8 x L n v Q l N C w 0 Y L Q s C w x f S Z x d W 9 0 O y w m c X V v d D t T Z W N 0 a W 9 u M S / Q k t G B 0 L V f 0 L J f 0 L 7 Q t N C 9 0 L 7 Q u V / R g t C w 0 L H Q u 9 C 4 0 Y b Q t V 9 v d X Q v 0 J f Q s N C 8 0 L X Q v d C 1 0 L 3 Q v d C + 0 L U g 0 L f Q v d C w 0 Y f Q t d C 9 0 L j Q t S 5 7 0 J / Q u 9 C w 0 L 0 s M n 0 m c X V v d D s s J n F 1 b 3 Q 7 U 2 V j d G l v b j E v 0 J L R g d C 1 X 9 C y X 9 C + 0 L T Q v d C + 0 L l f 0 Y L Q s N C x 0 L v Q u N G G 0 L V f b 3 V 0 L 9 C X 0 L D Q v N C 1 0 L 3 Q t d C 9 0 L 3 Q v t C 1 I N C 3 0 L 3 Q s N G H 0 L X Q v d C 4 0 L U x L n v Q p N C w 0 L r R g i w z f S Z x d W 9 0 O y w m c X V v d D t T Z W N 0 a W 9 u M S / Q k t G B 0 L V f 0 L J f 0 L 7 Q t N C 9 0 L 7 Q u V / R g t C w 0 L H Q u 9 C 4 0 Y b Q t V 9 v d X Q v 0 J j Q t 9 C 8 0 L X Q v d C 1 0 L 3 Q v d G L 0 L k g 0 Y L Q u N C / M S 5 7 0 Y H R g t C w 0 L L Q u t C w I N C m 0 J E s N X 0 m c X V v d D s s J n F 1 b 3 Q 7 U 2 V j d G l v b j E v 0 J L R g d C 1 X 9 C y X 9 C + 0 L T Q v d C + 0 L l f 0 Y L Q s N C x 0 L v Q u N G G 0 L V f b 3 V 0 L 9 C Y 0 L f Q v N C 1 0 L 3 Q t d C 9 0 L 3 R i 9 C 5 I N G C 0 L j Q v y 5 7 0 L T Q v d C 1 0 L k s N 3 0 m c X V v d D s s J n F 1 b 3 Q 7 U 2 V j d G l v b j E v 0 J L R g d C 1 X 9 C y X 9 C + 0 L T Q v d C + 0 L l f 0 Y L Q s N C x 0 L v Q u N G G 0 L V f b 3 V 0 L 9 C Y 0 L f Q v N C 1 0 L 3 Q t d C 9 0 L 3 R i 9 C 5 I N G C 0 L j Q v z I u e 9 C 9 0 L X Q t N C + 0 L / Q u 9 C w 0 Y L Q s C w 5 f S Z x d W 9 0 O y w m c X V v d D t T Z W N 0 a W 9 u M S / Q k t G B 0 L V f 0 L J f 0 L 7 Q t N C 9 0 L 7 Q u V / R g t C w 0 L H Q u 9 C 4 0 Y b Q t V 9 v d X Q v 0 J j Q t 9 C 8 0 L X Q v d C 1 0 L 3 Q v d G L 0 L k g 0 Y L Q u N C / M i 5 7 J S U g 0 L / Q v i D R g d G C 0 L D Q s t C 6 0 L U g 0 K b Q k S w x M H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0 J L R g d C 1 X 9 C y X 9 C + 0 L T Q v d C + 0 L l f 0 Y L Q s N C x 0 L v Q u N G G 0 L V f b 3 V 0 L 9 C Y 0 L f Q v N C 1 0 L 3 Q t d C 9 0 L 3 R i 9 C 5 I N G C 0 L j Q v y 5 7 0 J j Q v d C 0 0 L X Q u t G B L D B 9 J n F 1 b 3 Q 7 L C Z x d W 9 0 O 1 N l Y 3 R p b 2 4 x L 9 C S 0 Y H Q t V / Q s l / Q v t C 0 0 L 3 Q v t C 5 X 9 G C 0 L D Q s d C 7 0 L j R h t C 1 X 2 9 1 d C / Q m N C 3 0 L z Q t d C 9 0 L X Q v d C 9 0 Y v Q u S D R g t C 4 0 L 8 x L n v Q l N C w 0 Y L Q s C w x f S Z x d W 9 0 O y w m c X V v d D t T Z W N 0 a W 9 u M S / Q k t G B 0 L V f 0 L J f 0 L 7 Q t N C 9 0 L 7 Q u V / R g t C w 0 L H Q u 9 C 4 0 Y b Q t V 9 v d X Q v 0 J f Q s N C 8 0 L X Q v d C 1 0 L 3 Q v d C + 0 L U g 0 L f Q v d C w 0 Y f Q t d C 9 0 L j Q t S 5 7 0 J / Q u 9 C w 0 L 0 s M n 0 m c X V v d D s s J n F 1 b 3 Q 7 U 2 V j d G l v b j E v 0 J L R g d C 1 X 9 C y X 9 C + 0 L T Q v d C + 0 L l f 0 Y L Q s N C x 0 L v Q u N G G 0 L V f b 3 V 0 L 9 C X 0 L D Q v N C 1 0 L 3 Q t d C 9 0 L 3 Q v t C 1 I N C 3 0 L 3 Q s N G H 0 L X Q v d C 4 0 L U x L n v Q p N C w 0 L r R g i w z f S Z x d W 9 0 O y w m c X V v d D t T Z W N 0 a W 9 u M S / Q k t G B 0 L V f 0 L J f 0 L 7 Q t N C 9 0 L 7 Q u V / R g t C w 0 L H Q u 9 C 4 0 Y b Q t V 9 v d X Q v 0 J j Q t 9 C 8 0 L X Q v d C 1 0 L 3 Q v d G L 0 L k g 0 Y L Q u N C / M S 5 7 0 Y H R g t C w 0 L L Q u t C w I N C m 0 J E s N X 0 m c X V v d D s s J n F 1 b 3 Q 7 U 2 V j d G l v b j E v 0 J L R g d C 1 X 9 C y X 9 C + 0 L T Q v d C + 0 L l f 0 Y L Q s N C x 0 L v Q u N G G 0 L V f b 3 V 0 L 9 C Y 0 L f Q v N C 1 0 L 3 Q t d C 9 0 L 3 R i 9 C 5 I N G C 0 L j Q v y 5 7 0 L T Q v d C 1 0 L k s N 3 0 m c X V v d D s s J n F 1 b 3 Q 7 U 2 V j d G l v b j E v 0 J L R g d C 1 X 9 C y X 9 C + 0 L T Q v d C + 0 L l f 0 Y L Q s N C x 0 L v Q u N G G 0 L V f b 3 V 0 L 9 C Y 0 L f Q v N C 1 0 L 3 Q t d C 9 0 L 3 R i 9 C 5 I N G C 0 L j Q v z I u e 9 C 9 0 L X Q t N C + 0 L / Q u 9 C w 0 Y L Q s C w 5 f S Z x d W 9 0 O y w m c X V v d D t T Z W N 0 a W 9 u M S / Q k t G B 0 L V f 0 L J f 0 L 7 Q t N C 9 0 L 7 Q u V / R g t C w 0 L H Q u 9 C 4 0 Y b Q t V 9 v d X Q v 0 J j Q t 9 C 8 0 L X Q v d C 1 0 L 3 Q v d G L 0 L k g 0 Y L Q u N C / M i 5 7 J S U g 0 L / Q v i D R g d G C 0 L D Q s t C 6 0 L U g 0 K b Q k S w x M H 0 m c X V v d D t d L C Z x d W 9 0 O 1 J l b G F 0 a W 9 u c 2 h p c E l u Z m 8 m c X V v d D s 6 W 1 1 9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R m l s b F R h c m d l d C I g V m F s d W U 9 I n P Q k t G B 0 L V f 0 L J f 0 L 7 Q t N C 9 0 L 7 Q u V / R g t C w 0 L H Q u 9 C 4 0 Y b Q t V 9 v d X Q i I C 8 + P E V u d H J 5 I F R 5 c G U 9 I l F 1 Z X J 5 S U Q i I F Z h b H V l P S J z O G I 2 N T l k O T Q t M m E 1 M y 0 0 O G F h L W E 4 Y W I t O D A 4 Z W U 0 N D Q 3 Z j d k I i A v P j x F b n R y e S B U e X B l P S J G a W x s R X J y b 3 J D b 2 R l I i B W Y W x 1 Z T 0 i c 1 V u a 2 5 v d 2 4 i I C 8 + P E V u d H J 5 I F R 5 c G U 9 I l J l Y 2 9 2 Z X J 5 V G F y Z 2 V 0 U 2 h l Z X Q i I F Z h b H V l P S J z M 1 / Q n t G C 0 Y f Q t d G C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Q 2 9 1 b n Q i I F Z h b H V l P S J s M j Y i I C 8 + P C 9 T d G F i b G V F b n R y a W V z P j w v S X R l b T 4 8 S X R l b T 4 8 S X R l b U x v Y 2 F 0 a W 9 u P j x J d G V t V H l w Z T 5 G b 3 J t d W x h P C 9 J d G V t V H l w Z T 4 8 S X R l b V B h d G g + U 2 V j d G l v b j E v J U Q w J T k y J U Q x J T g x J U Q w J U I 1 X y V E M C V C M l 8 l R D A l Q k U l R D A l Q j Q l R D A l Q k Q l R D A l Q k U l R D A l Q j l f J U Q x J T g y J U Q w J U I w J U Q w J U I x J U Q w J U J C J U Q w J U I 4 J U Q x J T g 2 J U Q w J U I 1 X 2 9 1 d C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I l R D E l O D E l R D A l Q j V f J U Q w J U I y X y V E M C V C R S V E M C V C N C V E M C V C R C V E M C V C R S V E M C V C O V 8 l R D E l O D I l R D A l Q j A l R D A l Q j E l R D A l Q k I l R D A l Q j g l R D E l O D Y l R D A l Q j V f b 3 V 0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M S V E M C V C N V 8 l R D A l Q j J f J U Q w J U J F J U Q w J U I 0 J U Q w J U J E J U Q w J U J F J U Q w J U I 5 X y V E M S U 4 M i V E M C V C M C V E M C V C M S V E M C V C Q i V E M C V C O C V E M S U 4 N i V E M C V C N V 9 v d X Q v J U Q w J T k 4 J U Q w J U I 3 J U Q w J U J D J U Q w J U I 1 J U Q w J U J E J U Q w J U I 1 J U Q w J U J E J U Q w J U J E J U Q x J T h C J U Q w J U I 5 J T I w J U Q x J T g y J U Q w J U I 4 J U Q w J U J G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M S V E M C V C N V 8 l R D A l Q j J f J U Q w J U J F J U Q w J U I 0 J U Q w J U J E J U Q w J U J F J U Q w J U I 5 X y V E M S U 4 M i V E M C V C M C V E M C V C M S V E M C V C Q i V E M C V C O C V E M S U 4 N i V E M C V C N V 9 v d X Q v J U Q w J U E z J U Q w J U I 0 J U Q w J U I w J U Q w J U J C J U Q w J U I 1 J U Q w J U J E J U Q w J U J E J U Q x J T h C J U Q w J U I 1 J T I w J U Q x J T g x J U Q x J T g y J U Q w J U J F J U Q w J U J C J U Q w J U I x J U Q x J T g 2 J U Q x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y J U Q x J T g x J U Q w J U I 1 X y V E M C V C M l 8 l R D A l Q k U l R D A l Q j Q l R D A l Q k Q l R D A l Q k U l R D A l Q j l f J U Q x J T g y J U Q w J U I w J U Q w J U I x J U Q w J U J C J U Q w J U I 4 J U Q x J T g 2 J U Q w J U I 1 X 2 9 1 d C 8 l R D A l O T g l R D A l Q j c l R D A l Q k M l R D A l Q j U l R D A l Q k Q l R D A l Q j U l R D A l Q k Q l R D A l Q k Q l R D E l O E I l R D A l Q j k l M j A l R D E l O D I l R D A l Q j g l R D A l Q k Y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y J U Q x J T g x J U Q w J U I 1 X y V E M C V C M l 8 l R D A l Q k U l R D A l Q j Q l R D A l Q k Q l R D A l Q k U l R D A l Q j l f J U Q x J T g y J U Q w J U I w J U Q w J U I x J U Q w J U J C J U Q w J U I 4 J U Q x J T g 2 J U Q w J U I 1 X 2 9 1 d C 8 l R D A l Q T E l R D E l O D I l R D E l O D A l R D A l Q k U l R D A l Q k E l R D A l Q j g l M j A l R D E l O D E l M j A l R D A l Q k Y l R D E l O D A l R D A l Q j g l R D A l Q k M l R D A l Q j U l R D A l Q k Q l R D A l Q j U l R D A l Q k Q l R D A l Q k Q l R D E l O E I l R D A l Q k M l M j A l R D E l O D Q l R D A l Q j g l R D A l Q k I l R D E l O E M l R D E l O D I l R D E l O D A l R D A l Q k U l R D A l Q k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I l R D E l O D E l R D A l Q j V f J U Q w J U I y X y V E M C V C R S V E M C V C N C V E M C V C R C V E M C V C R S V E M C V C O V 8 l R D E l O D I l R D A l Q j A l R D A l Q j E l R D A l Q k I l R D A l Q j g l R D E l O D Y l R D A l Q j V f b 3 V 0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M S V E M C V C N V 8 l R D A l Q j J f J U Q w J U J F J U Q w J U I 0 J U Q w J U J E J U Q w J U J F J U Q w J U I 5 X y V E M S U 4 M i V E M C V C M C V E M C V C M S V E M C V C Q i V E M C V C O C V E M S U 4 N i V E M C V C N V 9 v d X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S V E M C V C Q i V E M S U 4 M y V E M C V C N i V E M C V C N S V E M C V C M S V E M C V C R C V E M S U 4 Q i V E M C V C N S V E M C U 5 N C V E M C V C M C V E M S U 4 M i V E M S U 4 Q i 8 l R D A l O T Q l R D A l Q k U l R D A l Q j E l R D A l Q j A l R D A l Q j I l R D A l Q k I l R D A l Q j U l R D A l Q k Q l M j A l R D A l Q k Y l R D A l Q k U l R D A l Q k I l R D E l O E M l R D A l Q j c l R D A l Q k U l R D A l Q j I l R D A l Q j A l R D E l O D I l R D A l Q j U l R D A l Q k I l R D E l O E M l R D E l O D E l R D A l Q k E l R D A l Q j g l R D A l Q j k l M j A l R D A l Q k U l R D A l Q j E l R D E l O E E l R D A l Q j U l R D A l Q k E l R D E l O D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y J U Q x J T g x J U Q w J U I 1 J T I w J U Q w J U I y J T I w J U Q w J U J F J U Q w J U I 0 J U Q w J U J E J U Q w J U J F J U Q w J U I 5 J T I w J U Q x J T g y J U Q w J U I w J U Q w J U I x J U Q w J U J C J U Q w J U I 4 J U Q x J T g 2 J U Q w J U I 1 L y V E M C U 5 O C V E M C V C N y V E M C V C Q y V E M C V C N S V E M C V C R C V E M C V C N S V E M C V C R C V E M C V C R C V E M S U 4 Q i V E M C V C O S U y M C V E M S U 4 M i V E M C V C O C V E M C V C R j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I l R D E l O D E l R D A l Q j U l M j A l R D A l Q j I l M j A l R D A l Q k U l R D A l Q j Q l R D A l Q k Q l R D A l Q k U l R D A l Q j k l M j A l R D E l O D I l R D A l Q j A l R D A l Q j E l R D A l Q k I l R D A l Q j g l R D E l O D Y l R D A l Q j U v J U Q w J U E x J U Q w J U J F J U Q x J T g w J U Q x J T g y J U Q w J U I 4 J U Q x J T g w J U Q w J U J F J U Q w J U I y J U Q w J U I w J U Q w J U J E J U Q w J U J E J U Q x J T h C J U Q w J U I 1 J T I w J U Q x J T g x J U Q x J T g y J U Q x J T g w J U Q w J U J F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y J U Q x J T g x J U Q w J U I 1 J T I w J U Q w J U I y J T I w J U Q w J U J F J U Q w J U I 0 J U Q w J U J E J U Q w J U J F J U Q w J U I 5 J T I w J U Q x J T g y J U Q w J U I w J U Q w J U I x J U Q w J U J C J U Q w J U I 4 J U Q x J T g 2 J U Q w J U I 1 L y V E M C U 5 N y V E M C V C M C V E M C V C R i V E M C V C R S V E M C V C Q i V E M C V C R C V E M C V C N S V E M C V C R C V E M C V C O C V E M C V C N S U y M C V E M C V C M i V E M C V C R C V E M C V C O C V E M C V C N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I l R D E l O D E l R D A l Q j U l M j A l R D A l Q j I l M j A l R D A l Q k U l R D A l Q j Q l R D A l Q k Q l R D A l Q k U l R D A l Q j k l M j A l R D E l O D I l R D A l Q j A l R D A l Q j E l R D A l Q k I l R D A l Q j g l R D E l O D Y l R D A l Q j U v J U Q w J T l G J U Q w J U I 1 J U Q x J T g w J U Q w J U I 1 J U Q x J T g z J U Q w J U J G J U Q w J U J F J U Q x J T g w J U Q x J T h G J U Q w J U I 0 J U Q w J U J F J U Q x J T g 3 J U Q w J U I 1 J U Q w J U J E J U Q w J U J E J U Q x J T h C J U Q w J U I 1 J T I w J U Q x J T g x J U Q x J T g y J U Q w J U J F J U Q w J U J C J U Q w J U I x J U Q x J T g 2 J U Q x J T h C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M S V E M C V C N V 8 l R D A l Q j J f J U Q w J U J F J U Q w J U I 0 J U Q w J U J E J U Q w J U J F J U Q w J U I 5 X y V E M S U 4 M i V E M C V C M C V E M C V C M S V E M C V C Q i V E M C V C O C V E M S U 4 N i V E M C V C N V 9 v d X Q v J U Q w J U E z J U Q w J U I 0 J U Q w J U I w J U Q w J U J C J U Q w J U I 1 J U Q w J U J E J U Q w J U J E J U Q x J T h C J U Q w J U I 1 J T I w J U Q x J T g x J U Q x J T g y J U Q w J U J F J U Q w J U J C J U Q w J U I x J U Q x J T g 2 J U Q x J T h C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i x M 4 U q 8 i c R r u Y c p D d L F F A A A A A A A I A A A A A A B B m A A A A A Q A A I A A A A G b e Z V L / f z N G 5 L + k O d X R W U 2 2 y i g i J 4 / X Q Q R i z 9 x A r 5 U A A A A A A A 6 A A A A A A g A A I A A A A N C K l L T 8 x f N N k b G r 8 Q R 7 Z 8 F W E O e V C / 1 Q x K d t s 1 + w s e 0 C U A A A A L y D G O 9 H q b p C D y i V j E r h 5 K E R 3 r i l z A W w x 8 + O X l s C t z U F C H C K Q u 1 B d q f Z b w n T I g t V A v R Z P i r z X p L Q J i y U F L r J I U / x i w g K B L + n v G o J 8 P p W + 1 M P Q A A A A C U k 7 S 4 q J / b U t h x s 1 + M a u p t q 9 p X 2 Z 8 i D K A c H Z Q M D S F e U 2 q k 7 n e 5 H C O G O u w Y M K p 8 p p h J q c M / l Q y T E z F r l Q l 7 x x y 4 = < / D a t a M a s h u p > 
</file>

<file path=customXml/itemProps1.xml><?xml version="1.0" encoding="utf-8"?>
<ds:datastoreItem xmlns:ds="http://schemas.openxmlformats.org/officeDocument/2006/customXml" ds:itemID="{7919C35B-BB84-45B3-B341-39BAC151967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1_Платежи_РасчетПроцентов</vt:lpstr>
      <vt:lpstr>2_ставка ЦБ</vt:lpstr>
      <vt:lpstr>3_Отчет</vt:lpstr>
      <vt:lpstr>Расчет</vt:lpstr>
    </vt:vector>
  </TitlesOfParts>
  <Manager/>
  <Company/>
  <LinksUpToDate>false</LinksUpToDate>
  <SharedDoc>false</SharedDoc>
  <HyperlinkBase>http://findir.msk.ru/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штрафных процентов</dc:title>
  <dc:subject>финансовые расчеты в Excel</dc:subject>
  <dc:creator/>
  <cp:keywords>info@findir.msk.ru</cp:keywords>
  <dc:description>Расчет штрафных процентов по ставке ЦБ РФ. Версия от 24 сент 2017.
Хахулин Андрей</dc:description>
  <cp:lastModifiedBy/>
  <dcterms:created xsi:type="dcterms:W3CDTF">2017-09-10T11:14:14Z</dcterms:created>
  <dcterms:modified xsi:type="dcterms:W3CDTF">2017-09-24T16:26:41Z</dcterms:modified>
</cp:coreProperties>
</file>